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anb\Desktop\"/>
    </mc:Choice>
  </mc:AlternateContent>
  <bookViews>
    <workbookView xWindow="0" yWindow="0" windowWidth="25200" windowHeight="11685" tabRatio="866" firstSheet="2" activeTab="5"/>
  </bookViews>
  <sheets>
    <sheet name="Input" sheetId="4" r:id="rId1"/>
    <sheet name="צ'קים בקופה" sheetId="33" r:id="rId2"/>
    <sheet name="Uses" sheetId="1" r:id="rId3"/>
    <sheet name="Check sheet" sheetId="31" r:id="rId4"/>
    <sheet name="Flat Dataset" sheetId="38" r:id="rId5"/>
    <sheet name="Summary" sheetId="29" r:id="rId6"/>
    <sheet name="All Periods" sheetId="16" r:id="rId7"/>
    <sheet name="Forecast2" sheetId="20" r:id="rId8"/>
    <sheet name="Forecast3" sheetId="24" r:id="rId9"/>
    <sheet name="Forecast4" sheetId="26" r:id="rId10"/>
    <sheet name="Forecast5" sheetId="28" r:id="rId11"/>
    <sheet name="Forecast6" sheetId="30" r:id="rId12"/>
    <sheet name="Forecast7" sheetId="32" r:id="rId13"/>
  </sheets>
  <definedNames>
    <definedName name="_xlnm._FilterDatabase" localSheetId="7" hidden="1">Forecast2!#REF!</definedName>
    <definedName name="_xlnm._FilterDatabase" localSheetId="8" hidden="1">Forecast3!#REF!</definedName>
    <definedName name="_xlnm._FilterDatabase" localSheetId="9" hidden="1">Forecast4!#REF!</definedName>
    <definedName name="_xlnm._FilterDatabase" localSheetId="10" hidden="1">Forecast5!#REF!</definedName>
    <definedName name="_xlnm._FilterDatabase" localSheetId="11" hidden="1">Forecast6!#REF!</definedName>
    <definedName name="_xlnm._FilterDatabase" localSheetId="12" hidden="1">Forecast7!#REF!</definedName>
    <definedName name="_xlnm._FilterDatabase" localSheetId="2" hidden="1">Uses!$B$3:$S$46</definedName>
    <definedName name="_xlnm._FilterDatabase" localSheetId="1" hidden="1">'צ''קים בקופה'!$A$1:$E$94</definedName>
    <definedName name="EUR">Input!$C$6</definedName>
    <definedName name="EURUSD">Input!$C$7</definedName>
    <definedName name="ExternalData_1" localSheetId="4" hidden="1">'Flat Dataset'!$A$1:$H$397</definedName>
    <definedName name="ILS">Input!$C$4</definedName>
    <definedName name="USD">Input!$C$5</definedName>
  </definedNames>
  <calcPr calcId="162913"/>
</workbook>
</file>

<file path=xl/calcChain.xml><?xml version="1.0" encoding="utf-8"?>
<calcChain xmlns="http://schemas.openxmlformats.org/spreadsheetml/2006/main">
  <c r="G15" i="29" l="1"/>
  <c r="F24" i="29" l="1"/>
  <c r="H24" i="29"/>
  <c r="H27" i="29" s="1"/>
  <c r="I24" i="29"/>
  <c r="I27" i="29" s="1"/>
  <c r="J24" i="29"/>
  <c r="K24" i="29"/>
  <c r="L24" i="29"/>
  <c r="L27" i="29" s="1"/>
  <c r="M24" i="29"/>
  <c r="M27" i="29" s="1"/>
  <c r="N24" i="29"/>
  <c r="E24" i="29"/>
  <c r="E23" i="29"/>
  <c r="F27" i="29"/>
  <c r="J27" i="29"/>
  <c r="K27" i="29"/>
  <c r="N27" i="29"/>
  <c r="C3" i="20"/>
  <c r="N18" i="29"/>
  <c r="M18" i="29"/>
  <c r="L18" i="29"/>
  <c r="K18" i="29"/>
  <c r="J18" i="29"/>
  <c r="I18" i="29"/>
  <c r="H18" i="29"/>
  <c r="G18" i="29"/>
  <c r="F18" i="29"/>
  <c r="J11" i="29"/>
  <c r="I11" i="29"/>
  <c r="H11" i="29"/>
  <c r="G11" i="29"/>
  <c r="F11" i="29"/>
  <c r="C24" i="16"/>
  <c r="C43" i="16" s="1"/>
  <c r="C139" i="16" s="1"/>
  <c r="D33" i="29"/>
  <c r="N26" i="29" l="1"/>
  <c r="M26" i="29"/>
  <c r="L26" i="29"/>
  <c r="K26" i="29"/>
  <c r="J26" i="29"/>
  <c r="I26" i="29"/>
  <c r="H26" i="29"/>
  <c r="G26" i="29"/>
  <c r="F26" i="29"/>
  <c r="N22" i="29"/>
  <c r="N21" i="29"/>
  <c r="N20" i="29"/>
  <c r="N19" i="29"/>
  <c r="N17" i="29"/>
  <c r="N16" i="29"/>
  <c r="N15" i="29"/>
  <c r="M22" i="29"/>
  <c r="M21" i="29"/>
  <c r="M20" i="29"/>
  <c r="M19" i="29"/>
  <c r="M17" i="29"/>
  <c r="M16" i="29"/>
  <c r="M15" i="29"/>
  <c r="L22" i="29"/>
  <c r="L21" i="29"/>
  <c r="L20" i="29"/>
  <c r="L19" i="29"/>
  <c r="L17" i="29"/>
  <c r="L16" i="29"/>
  <c r="L15" i="29"/>
  <c r="K22" i="29"/>
  <c r="K21" i="29"/>
  <c r="K20" i="29"/>
  <c r="K19" i="29"/>
  <c r="K17" i="29"/>
  <c r="K16" i="29"/>
  <c r="K15" i="29"/>
  <c r="J22" i="29"/>
  <c r="J21" i="29"/>
  <c r="J20" i="29"/>
  <c r="J19" i="29"/>
  <c r="J17" i="29"/>
  <c r="J16" i="29"/>
  <c r="J15" i="29"/>
  <c r="I22" i="29"/>
  <c r="I21" i="29"/>
  <c r="I20" i="29"/>
  <c r="I19" i="29"/>
  <c r="I17" i="29"/>
  <c r="I16" i="29"/>
  <c r="I15" i="29"/>
  <c r="H22" i="29"/>
  <c r="H21" i="29"/>
  <c r="H20" i="29"/>
  <c r="H19" i="29"/>
  <c r="H17" i="29"/>
  <c r="H16" i="29"/>
  <c r="H15" i="29"/>
  <c r="G22" i="29"/>
  <c r="G21" i="29"/>
  <c r="G20" i="29"/>
  <c r="G19" i="29"/>
  <c r="G17" i="29"/>
  <c r="G16" i="29"/>
  <c r="F22" i="29" l="1"/>
  <c r="F21" i="29"/>
  <c r="F20" i="29"/>
  <c r="F19" i="29"/>
  <c r="F17" i="29"/>
  <c r="F16" i="29"/>
  <c r="F15" i="29"/>
  <c r="E16" i="29"/>
  <c r="E21" i="29"/>
  <c r="L6" i="29"/>
  <c r="L7" i="29"/>
  <c r="K7" i="29"/>
  <c r="K6" i="29"/>
  <c r="C48" i="29"/>
  <c r="C47" i="29"/>
  <c r="I7" i="29"/>
  <c r="I48" i="29" s="1"/>
  <c r="H7" i="29"/>
  <c r="H48" i="29" s="1"/>
  <c r="G7" i="29"/>
  <c r="G48" i="29" s="1"/>
  <c r="F7" i="29"/>
  <c r="F48" i="29" s="1"/>
  <c r="E7" i="29"/>
  <c r="E48" i="29" s="1"/>
  <c r="F122" i="16"/>
  <c r="F121" i="16"/>
  <c r="F127" i="16"/>
  <c r="F128" i="16"/>
  <c r="F129" i="16"/>
  <c r="F130" i="16"/>
  <c r="F131" i="16"/>
  <c r="F132" i="16"/>
  <c r="F133" i="16"/>
  <c r="F134" i="16"/>
  <c r="F126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62" i="16"/>
  <c r="F49" i="16"/>
  <c r="F50" i="16"/>
  <c r="F51" i="16"/>
  <c r="F52" i="16"/>
  <c r="F53" i="16"/>
  <c r="F54" i="16"/>
  <c r="F55" i="16"/>
  <c r="F56" i="16"/>
  <c r="F57" i="16"/>
  <c r="F58" i="16"/>
  <c r="F59" i="16"/>
  <c r="F48" i="16"/>
  <c r="F40" i="16"/>
  <c r="F41" i="16"/>
  <c r="F42" i="16"/>
  <c r="F43" i="16"/>
  <c r="F44" i="16"/>
  <c r="F45" i="16"/>
  <c r="F39" i="16"/>
  <c r="F28" i="16"/>
  <c r="F29" i="16"/>
  <c r="F27" i="16"/>
  <c r="F13" i="16"/>
  <c r="F12" i="16"/>
  <c r="C4" i="32"/>
  <c r="F118" i="32" s="1"/>
  <c r="C3" i="32"/>
  <c r="J6" i="29" s="1"/>
  <c r="J47" i="29" s="1"/>
  <c r="C3" i="30"/>
  <c r="I6" i="29" s="1"/>
  <c r="I47" i="29" s="1"/>
  <c r="C3" i="28"/>
  <c r="H6" i="29" s="1"/>
  <c r="H47" i="29" s="1"/>
  <c r="C3" i="26"/>
  <c r="G6" i="29" s="1"/>
  <c r="G47" i="29" s="1"/>
  <c r="E130" i="32"/>
  <c r="E129" i="32"/>
  <c r="E128" i="32"/>
  <c r="E127" i="32"/>
  <c r="F127" i="32" s="1"/>
  <c r="E126" i="32"/>
  <c r="E125" i="32"/>
  <c r="E124" i="32"/>
  <c r="E123" i="32"/>
  <c r="E122" i="32"/>
  <c r="E112" i="32"/>
  <c r="E111" i="32"/>
  <c r="F111" i="32" s="1"/>
  <c r="E110" i="32"/>
  <c r="E109" i="32"/>
  <c r="E108" i="32"/>
  <c r="E107" i="32"/>
  <c r="F107" i="32" s="1"/>
  <c r="E106" i="32"/>
  <c r="E105" i="32"/>
  <c r="E104" i="32"/>
  <c r="F104" i="32" s="1"/>
  <c r="E103" i="32"/>
  <c r="E102" i="32"/>
  <c r="E101" i="32"/>
  <c r="E100" i="32"/>
  <c r="F100" i="32" s="1"/>
  <c r="E99" i="32"/>
  <c r="F99" i="32" s="1"/>
  <c r="E98" i="32"/>
  <c r="E97" i="32"/>
  <c r="E96" i="32"/>
  <c r="E95" i="32"/>
  <c r="F95" i="32" s="1"/>
  <c r="E94" i="32"/>
  <c r="E93" i="32"/>
  <c r="E92" i="32"/>
  <c r="E91" i="32"/>
  <c r="F91" i="32" s="1"/>
  <c r="E90" i="32"/>
  <c r="E89" i="32"/>
  <c r="E88" i="32"/>
  <c r="F88" i="32" s="1"/>
  <c r="E87" i="32"/>
  <c r="E86" i="32"/>
  <c r="E85" i="32"/>
  <c r="E84" i="32"/>
  <c r="F84" i="32" s="1"/>
  <c r="E83" i="32"/>
  <c r="E82" i="32"/>
  <c r="E81" i="32"/>
  <c r="F81" i="32" s="1"/>
  <c r="E80" i="32"/>
  <c r="E79" i="32"/>
  <c r="E78" i="32"/>
  <c r="E77" i="32"/>
  <c r="F77" i="32" s="1"/>
  <c r="E76" i="32"/>
  <c r="E75" i="32"/>
  <c r="F75" i="32" s="1"/>
  <c r="E74" i="32"/>
  <c r="F74" i="32" s="1"/>
  <c r="E73" i="32"/>
  <c r="E72" i="32"/>
  <c r="E71" i="32"/>
  <c r="E70" i="32"/>
  <c r="F70" i="32" s="1"/>
  <c r="E69" i="32"/>
  <c r="E68" i="32"/>
  <c r="E67" i="32"/>
  <c r="E66" i="32"/>
  <c r="E65" i="32"/>
  <c r="F65" i="32" s="1"/>
  <c r="E64" i="32"/>
  <c r="E63" i="32"/>
  <c r="E62" i="32"/>
  <c r="F58" i="32"/>
  <c r="E58" i="32"/>
  <c r="E57" i="32"/>
  <c r="E56" i="32"/>
  <c r="F56" i="32" s="1"/>
  <c r="E55" i="32"/>
  <c r="E54" i="32"/>
  <c r="E53" i="32"/>
  <c r="E52" i="32"/>
  <c r="F52" i="32" s="1"/>
  <c r="E51" i="32"/>
  <c r="E50" i="32"/>
  <c r="F50" i="32" s="1"/>
  <c r="E49" i="32"/>
  <c r="F49" i="32" s="1"/>
  <c r="E48" i="32"/>
  <c r="F48" i="32" s="1"/>
  <c r="E47" i="32"/>
  <c r="E44" i="32"/>
  <c r="F44" i="32" s="1"/>
  <c r="E43" i="32"/>
  <c r="E42" i="32"/>
  <c r="E41" i="32"/>
  <c r="E40" i="32"/>
  <c r="F40" i="32" s="1"/>
  <c r="E39" i="32"/>
  <c r="E38" i="32"/>
  <c r="F38" i="32" s="1"/>
  <c r="E30" i="32"/>
  <c r="F30" i="32" s="1"/>
  <c r="E29" i="32"/>
  <c r="E28" i="32"/>
  <c r="E27" i="32"/>
  <c r="E26" i="32"/>
  <c r="F26" i="32" s="1"/>
  <c r="E22" i="32"/>
  <c r="E21" i="32"/>
  <c r="E20" i="32"/>
  <c r="E19" i="32"/>
  <c r="F19" i="32" s="1"/>
  <c r="E18" i="32"/>
  <c r="E17" i="32"/>
  <c r="E16" i="32"/>
  <c r="F15" i="32"/>
  <c r="E15" i="32"/>
  <c r="E14" i="32"/>
  <c r="E13" i="32"/>
  <c r="F13" i="32" s="1"/>
  <c r="E12" i="32"/>
  <c r="E130" i="30"/>
  <c r="F130" i="30" s="1"/>
  <c r="E129" i="30"/>
  <c r="E128" i="30"/>
  <c r="E127" i="30"/>
  <c r="F127" i="30" s="1"/>
  <c r="E126" i="30"/>
  <c r="F126" i="30" s="1"/>
  <c r="E125" i="30"/>
  <c r="E124" i="30"/>
  <c r="E123" i="30"/>
  <c r="F123" i="30" s="1"/>
  <c r="E122" i="30"/>
  <c r="F122" i="30" s="1"/>
  <c r="F118" i="30"/>
  <c r="F117" i="30"/>
  <c r="E112" i="30"/>
  <c r="F112" i="30" s="1"/>
  <c r="F111" i="30"/>
  <c r="E111" i="30"/>
  <c r="E110" i="30"/>
  <c r="F110" i="30" s="1"/>
  <c r="E109" i="30"/>
  <c r="F109" i="30" s="1"/>
  <c r="E108" i="30"/>
  <c r="F108" i="30" s="1"/>
  <c r="E107" i="30"/>
  <c r="F107" i="30" s="1"/>
  <c r="E106" i="30"/>
  <c r="F106" i="30" s="1"/>
  <c r="E105" i="30"/>
  <c r="F105" i="30" s="1"/>
  <c r="E104" i="30"/>
  <c r="F104" i="30" s="1"/>
  <c r="E103" i="30"/>
  <c r="F103" i="30" s="1"/>
  <c r="E102" i="30"/>
  <c r="F102" i="30" s="1"/>
  <c r="E101" i="30"/>
  <c r="F101" i="30" s="1"/>
  <c r="E100" i="30"/>
  <c r="F100" i="30" s="1"/>
  <c r="E99" i="30"/>
  <c r="F99" i="30" s="1"/>
  <c r="E98" i="30"/>
  <c r="F98" i="30" s="1"/>
  <c r="E97" i="30"/>
  <c r="F97" i="30" s="1"/>
  <c r="E96" i="30"/>
  <c r="F96" i="30" s="1"/>
  <c r="E95" i="30"/>
  <c r="F95" i="30" s="1"/>
  <c r="E94" i="30"/>
  <c r="F94" i="30" s="1"/>
  <c r="E93" i="30"/>
  <c r="F93" i="30" s="1"/>
  <c r="E92" i="30"/>
  <c r="F92" i="30" s="1"/>
  <c r="E91" i="30"/>
  <c r="F91" i="30" s="1"/>
  <c r="E90" i="30"/>
  <c r="F90" i="30" s="1"/>
  <c r="E89" i="30"/>
  <c r="F89" i="30" s="1"/>
  <c r="E88" i="30"/>
  <c r="F88" i="30" s="1"/>
  <c r="F87" i="30"/>
  <c r="E87" i="30"/>
  <c r="E86" i="30"/>
  <c r="F86" i="30" s="1"/>
  <c r="E85" i="30"/>
  <c r="F85" i="30" s="1"/>
  <c r="E84" i="30"/>
  <c r="F84" i="30" s="1"/>
  <c r="E83" i="30"/>
  <c r="F83" i="30" s="1"/>
  <c r="E82" i="30"/>
  <c r="F82" i="30" s="1"/>
  <c r="E81" i="30"/>
  <c r="F81" i="30" s="1"/>
  <c r="E80" i="30"/>
  <c r="F80" i="30" s="1"/>
  <c r="E79" i="30"/>
  <c r="F79" i="30" s="1"/>
  <c r="E78" i="30"/>
  <c r="F78" i="30" s="1"/>
  <c r="E77" i="30"/>
  <c r="F77" i="30" s="1"/>
  <c r="E76" i="30"/>
  <c r="F76" i="30" s="1"/>
  <c r="E75" i="30"/>
  <c r="F75" i="30" s="1"/>
  <c r="E74" i="30"/>
  <c r="F74" i="30" s="1"/>
  <c r="E73" i="30"/>
  <c r="F73" i="30" s="1"/>
  <c r="E72" i="30"/>
  <c r="F72" i="30" s="1"/>
  <c r="E71" i="30"/>
  <c r="F71" i="30" s="1"/>
  <c r="E70" i="30"/>
  <c r="F70" i="30" s="1"/>
  <c r="E69" i="30"/>
  <c r="F69" i="30" s="1"/>
  <c r="E68" i="30"/>
  <c r="F68" i="30" s="1"/>
  <c r="E67" i="30"/>
  <c r="F67" i="30" s="1"/>
  <c r="E66" i="30"/>
  <c r="F66" i="30" s="1"/>
  <c r="E65" i="30"/>
  <c r="F65" i="30" s="1"/>
  <c r="E64" i="30"/>
  <c r="F64" i="30" s="1"/>
  <c r="E63" i="30"/>
  <c r="F63" i="30" s="1"/>
  <c r="E62" i="30"/>
  <c r="F62" i="30" s="1"/>
  <c r="E58" i="30"/>
  <c r="F58" i="30" s="1"/>
  <c r="E57" i="30"/>
  <c r="F57" i="30" s="1"/>
  <c r="E56" i="30"/>
  <c r="F56" i="30" s="1"/>
  <c r="E55" i="30"/>
  <c r="F55" i="30" s="1"/>
  <c r="E54" i="30"/>
  <c r="F54" i="30" s="1"/>
  <c r="E53" i="30"/>
  <c r="F53" i="30" s="1"/>
  <c r="E52" i="30"/>
  <c r="F52" i="30" s="1"/>
  <c r="E51" i="30"/>
  <c r="F51" i="30" s="1"/>
  <c r="E50" i="30"/>
  <c r="F50" i="30" s="1"/>
  <c r="E49" i="30"/>
  <c r="F49" i="30" s="1"/>
  <c r="E48" i="30"/>
  <c r="F48" i="30" s="1"/>
  <c r="E47" i="30"/>
  <c r="F47" i="30" s="1"/>
  <c r="F45" i="30"/>
  <c r="E44" i="30"/>
  <c r="F44" i="30" s="1"/>
  <c r="E43" i="30"/>
  <c r="F43" i="30" s="1"/>
  <c r="E42" i="30"/>
  <c r="F42" i="30" s="1"/>
  <c r="E41" i="30"/>
  <c r="F41" i="30" s="1"/>
  <c r="E40" i="30"/>
  <c r="F40" i="30" s="1"/>
  <c r="E39" i="30"/>
  <c r="F39" i="30" s="1"/>
  <c r="E38" i="30"/>
  <c r="F38" i="30" s="1"/>
  <c r="E30" i="30"/>
  <c r="F30" i="30" s="1"/>
  <c r="E29" i="30"/>
  <c r="F29" i="30" s="1"/>
  <c r="E28" i="30"/>
  <c r="F28" i="30" s="1"/>
  <c r="E27" i="30"/>
  <c r="F27" i="30" s="1"/>
  <c r="E26" i="30"/>
  <c r="F26" i="30" s="1"/>
  <c r="E22" i="30"/>
  <c r="F22" i="30" s="1"/>
  <c r="E21" i="30"/>
  <c r="F21" i="30" s="1"/>
  <c r="E20" i="30"/>
  <c r="F20" i="30" s="1"/>
  <c r="E19" i="30"/>
  <c r="F19" i="30" s="1"/>
  <c r="E18" i="30"/>
  <c r="F18" i="30" s="1"/>
  <c r="E17" i="30"/>
  <c r="F17" i="30" s="1"/>
  <c r="E16" i="30"/>
  <c r="F16" i="30" s="1"/>
  <c r="E15" i="30"/>
  <c r="F15" i="30" s="1"/>
  <c r="E14" i="30"/>
  <c r="F14" i="30" s="1"/>
  <c r="E13" i="30"/>
  <c r="F13" i="30" s="1"/>
  <c r="E12" i="30"/>
  <c r="F12" i="30" s="1"/>
  <c r="E130" i="28"/>
  <c r="F130" i="28" s="1"/>
  <c r="E129" i="28"/>
  <c r="F129" i="28" s="1"/>
  <c r="E128" i="28"/>
  <c r="F128" i="28" s="1"/>
  <c r="E127" i="28"/>
  <c r="F127" i="28" s="1"/>
  <c r="E126" i="28"/>
  <c r="F126" i="28" s="1"/>
  <c r="E125" i="28"/>
  <c r="F125" i="28" s="1"/>
  <c r="E124" i="28"/>
  <c r="F124" i="28" s="1"/>
  <c r="E123" i="28"/>
  <c r="F123" i="28" s="1"/>
  <c r="E122" i="28"/>
  <c r="F122" i="28" s="1"/>
  <c r="F118" i="28"/>
  <c r="F117" i="28"/>
  <c r="E112" i="28"/>
  <c r="F112" i="28" s="1"/>
  <c r="E111" i="28"/>
  <c r="F111" i="28" s="1"/>
  <c r="E110" i="28"/>
  <c r="F110" i="28" s="1"/>
  <c r="F109" i="28"/>
  <c r="E109" i="28"/>
  <c r="E108" i="28"/>
  <c r="F108" i="28" s="1"/>
  <c r="E107" i="28"/>
  <c r="F107" i="28" s="1"/>
  <c r="E106" i="28"/>
  <c r="F106" i="28" s="1"/>
  <c r="E105" i="28"/>
  <c r="F105" i="28" s="1"/>
  <c r="E104" i="28"/>
  <c r="F104" i="28" s="1"/>
  <c r="E103" i="28"/>
  <c r="F103" i="28" s="1"/>
  <c r="E102" i="28"/>
  <c r="F102" i="28" s="1"/>
  <c r="E101" i="28"/>
  <c r="F101" i="28" s="1"/>
  <c r="E100" i="28"/>
  <c r="F100" i="28" s="1"/>
  <c r="E99" i="28"/>
  <c r="F99" i="28" s="1"/>
  <c r="E98" i="28"/>
  <c r="F98" i="28" s="1"/>
  <c r="E97" i="28"/>
  <c r="F97" i="28" s="1"/>
  <c r="E96" i="28"/>
  <c r="F96" i="28" s="1"/>
  <c r="E95" i="28"/>
  <c r="F95" i="28" s="1"/>
  <c r="E94" i="28"/>
  <c r="F94" i="28" s="1"/>
  <c r="E93" i="28"/>
  <c r="F93" i="28" s="1"/>
  <c r="E92" i="28"/>
  <c r="F92" i="28" s="1"/>
  <c r="E91" i="28"/>
  <c r="F91" i="28" s="1"/>
  <c r="E90" i="28"/>
  <c r="F90" i="28" s="1"/>
  <c r="E89" i="28"/>
  <c r="F89" i="28" s="1"/>
  <c r="E88" i="28"/>
  <c r="F88" i="28" s="1"/>
  <c r="E87" i="28"/>
  <c r="F87" i="28" s="1"/>
  <c r="E86" i="28"/>
  <c r="F86" i="28" s="1"/>
  <c r="E85" i="28"/>
  <c r="F85" i="28" s="1"/>
  <c r="E84" i="28"/>
  <c r="F84" i="28" s="1"/>
  <c r="E83" i="28"/>
  <c r="F83" i="28" s="1"/>
  <c r="E82" i="28"/>
  <c r="F82" i="28" s="1"/>
  <c r="E81" i="28"/>
  <c r="F81" i="28" s="1"/>
  <c r="E80" i="28"/>
  <c r="F80" i="28" s="1"/>
  <c r="E79" i="28"/>
  <c r="F79" i="28" s="1"/>
  <c r="E78" i="28"/>
  <c r="F78" i="28" s="1"/>
  <c r="E77" i="28"/>
  <c r="F77" i="28" s="1"/>
  <c r="E76" i="28"/>
  <c r="F76" i="28" s="1"/>
  <c r="E75" i="28"/>
  <c r="F75" i="28" s="1"/>
  <c r="E74" i="28"/>
  <c r="F74" i="28" s="1"/>
  <c r="E73" i="28"/>
  <c r="F73" i="28" s="1"/>
  <c r="E72" i="28"/>
  <c r="F72" i="28" s="1"/>
  <c r="E71" i="28"/>
  <c r="F71" i="28" s="1"/>
  <c r="E70" i="28"/>
  <c r="F70" i="28" s="1"/>
  <c r="E69" i="28"/>
  <c r="F69" i="28" s="1"/>
  <c r="E68" i="28"/>
  <c r="F68" i="28" s="1"/>
  <c r="E67" i="28"/>
  <c r="F67" i="28" s="1"/>
  <c r="E66" i="28"/>
  <c r="F66" i="28" s="1"/>
  <c r="E65" i="28"/>
  <c r="F65" i="28" s="1"/>
  <c r="E64" i="28"/>
  <c r="F64" i="28" s="1"/>
  <c r="E63" i="28"/>
  <c r="F63" i="28" s="1"/>
  <c r="E62" i="28"/>
  <c r="F62" i="28" s="1"/>
  <c r="E58" i="28"/>
  <c r="F58" i="28" s="1"/>
  <c r="E57" i="28"/>
  <c r="F57" i="28" s="1"/>
  <c r="E56" i="28"/>
  <c r="F56" i="28" s="1"/>
  <c r="E55" i="28"/>
  <c r="F55" i="28" s="1"/>
  <c r="E54" i="28"/>
  <c r="F54" i="28" s="1"/>
  <c r="E53" i="28"/>
  <c r="F53" i="28" s="1"/>
  <c r="E52" i="28"/>
  <c r="F52" i="28" s="1"/>
  <c r="E51" i="28"/>
  <c r="F51" i="28" s="1"/>
  <c r="F50" i="28"/>
  <c r="E50" i="28"/>
  <c r="E49" i="28"/>
  <c r="F49" i="28" s="1"/>
  <c r="E48" i="28"/>
  <c r="F48" i="28" s="1"/>
  <c r="E47" i="28"/>
  <c r="F47" i="28" s="1"/>
  <c r="F45" i="28"/>
  <c r="E44" i="28"/>
  <c r="F44" i="28" s="1"/>
  <c r="E43" i="28"/>
  <c r="F43" i="28" s="1"/>
  <c r="E42" i="28"/>
  <c r="F42" i="28" s="1"/>
  <c r="E41" i="28"/>
  <c r="F41" i="28" s="1"/>
  <c r="E40" i="28"/>
  <c r="F40" i="28" s="1"/>
  <c r="E39" i="28"/>
  <c r="F39" i="28" s="1"/>
  <c r="F38" i="28"/>
  <c r="E38" i="28"/>
  <c r="E30" i="28"/>
  <c r="F30" i="28" s="1"/>
  <c r="E29" i="28"/>
  <c r="F29" i="28" s="1"/>
  <c r="E28" i="28"/>
  <c r="F28" i="28" s="1"/>
  <c r="E27" i="28"/>
  <c r="F27" i="28" s="1"/>
  <c r="E26" i="28"/>
  <c r="F26" i="28" s="1"/>
  <c r="E22" i="28"/>
  <c r="F22" i="28" s="1"/>
  <c r="E21" i="28"/>
  <c r="F21" i="28" s="1"/>
  <c r="E20" i="28"/>
  <c r="F20" i="28" s="1"/>
  <c r="E19" i="28"/>
  <c r="F19" i="28" s="1"/>
  <c r="E18" i="28"/>
  <c r="F18" i="28" s="1"/>
  <c r="E17" i="28"/>
  <c r="F17" i="28" s="1"/>
  <c r="E16" i="28"/>
  <c r="F16" i="28" s="1"/>
  <c r="E15" i="28"/>
  <c r="F15" i="28" s="1"/>
  <c r="E14" i="28"/>
  <c r="F14" i="28" s="1"/>
  <c r="E13" i="28"/>
  <c r="F13" i="28" s="1"/>
  <c r="E12" i="28"/>
  <c r="F12" i="28" s="1"/>
  <c r="E130" i="26"/>
  <c r="F130" i="26" s="1"/>
  <c r="E129" i="26"/>
  <c r="F129" i="26" s="1"/>
  <c r="E128" i="26"/>
  <c r="F128" i="26" s="1"/>
  <c r="E127" i="26"/>
  <c r="F127" i="26" s="1"/>
  <c r="E126" i="26"/>
  <c r="F126" i="26" s="1"/>
  <c r="E125" i="26"/>
  <c r="F125" i="26" s="1"/>
  <c r="E124" i="26"/>
  <c r="F124" i="26" s="1"/>
  <c r="E123" i="26"/>
  <c r="F123" i="26" s="1"/>
  <c r="E122" i="26"/>
  <c r="F122" i="26" s="1"/>
  <c r="F118" i="26"/>
  <c r="F117" i="26"/>
  <c r="E112" i="26"/>
  <c r="F112" i="26" s="1"/>
  <c r="E111" i="26"/>
  <c r="F111" i="26" s="1"/>
  <c r="E110" i="26"/>
  <c r="F110" i="26" s="1"/>
  <c r="E109" i="26"/>
  <c r="F109" i="26" s="1"/>
  <c r="E108" i="26"/>
  <c r="F108" i="26" s="1"/>
  <c r="F107" i="26"/>
  <c r="E107" i="26"/>
  <c r="E106" i="26"/>
  <c r="F106" i="26" s="1"/>
  <c r="E105" i="26"/>
  <c r="F105" i="26" s="1"/>
  <c r="E104" i="26"/>
  <c r="F104" i="26" s="1"/>
  <c r="E103" i="26"/>
  <c r="F103" i="26" s="1"/>
  <c r="E102" i="26"/>
  <c r="F102" i="26" s="1"/>
  <c r="E101" i="26"/>
  <c r="F101" i="26" s="1"/>
  <c r="E100" i="26"/>
  <c r="F100" i="26" s="1"/>
  <c r="E99" i="26"/>
  <c r="F99" i="26" s="1"/>
  <c r="E98" i="26"/>
  <c r="F98" i="26" s="1"/>
  <c r="E97" i="26"/>
  <c r="F97" i="26" s="1"/>
  <c r="E96" i="26"/>
  <c r="F96" i="26" s="1"/>
  <c r="E95" i="26"/>
  <c r="F95" i="26" s="1"/>
  <c r="E94" i="26"/>
  <c r="F94" i="26" s="1"/>
  <c r="E93" i="26"/>
  <c r="F93" i="26" s="1"/>
  <c r="E92" i="26"/>
  <c r="F92" i="26" s="1"/>
  <c r="E91" i="26"/>
  <c r="F91" i="26" s="1"/>
  <c r="E90" i="26"/>
  <c r="F90" i="26" s="1"/>
  <c r="E89" i="26"/>
  <c r="F89" i="26" s="1"/>
  <c r="E88" i="26"/>
  <c r="F88" i="26" s="1"/>
  <c r="E87" i="26"/>
  <c r="F87" i="26" s="1"/>
  <c r="E86" i="26"/>
  <c r="F86" i="26" s="1"/>
  <c r="E85" i="26"/>
  <c r="F85" i="26" s="1"/>
  <c r="E84" i="26"/>
  <c r="F84" i="26" s="1"/>
  <c r="E83" i="26"/>
  <c r="F83" i="26" s="1"/>
  <c r="E82" i="26"/>
  <c r="F82" i="26" s="1"/>
  <c r="E81" i="26"/>
  <c r="F81" i="26" s="1"/>
  <c r="E80" i="26"/>
  <c r="F80" i="26" s="1"/>
  <c r="E79" i="26"/>
  <c r="F79" i="26" s="1"/>
  <c r="E78" i="26"/>
  <c r="F78" i="26" s="1"/>
  <c r="E77" i="26"/>
  <c r="F77" i="26" s="1"/>
  <c r="E76" i="26"/>
  <c r="F76" i="26" s="1"/>
  <c r="F75" i="26"/>
  <c r="E75" i="26"/>
  <c r="E74" i="26"/>
  <c r="F74" i="26" s="1"/>
  <c r="E73" i="26"/>
  <c r="F73" i="26" s="1"/>
  <c r="E72" i="26"/>
  <c r="F72" i="26" s="1"/>
  <c r="E71" i="26"/>
  <c r="F71" i="26" s="1"/>
  <c r="E70" i="26"/>
  <c r="F70" i="26" s="1"/>
  <c r="E69" i="26"/>
  <c r="F69" i="26" s="1"/>
  <c r="E68" i="26"/>
  <c r="F68" i="26" s="1"/>
  <c r="E67" i="26"/>
  <c r="F67" i="26" s="1"/>
  <c r="E66" i="26"/>
  <c r="F66" i="26" s="1"/>
  <c r="E65" i="26"/>
  <c r="F65" i="26" s="1"/>
  <c r="E64" i="26"/>
  <c r="F64" i="26" s="1"/>
  <c r="E63" i="26"/>
  <c r="F63" i="26" s="1"/>
  <c r="E62" i="26"/>
  <c r="F62" i="26" s="1"/>
  <c r="E58" i="26"/>
  <c r="F58" i="26" s="1"/>
  <c r="E57" i="26"/>
  <c r="F57" i="26" s="1"/>
  <c r="E56" i="26"/>
  <c r="F56" i="26" s="1"/>
  <c r="E55" i="26"/>
  <c r="F55" i="26" s="1"/>
  <c r="E54" i="26"/>
  <c r="F54" i="26" s="1"/>
  <c r="E53" i="26"/>
  <c r="F53" i="26" s="1"/>
  <c r="E52" i="26"/>
  <c r="F52" i="26" s="1"/>
  <c r="E51" i="26"/>
  <c r="F51" i="26" s="1"/>
  <c r="E50" i="26"/>
  <c r="F50" i="26" s="1"/>
  <c r="E49" i="26"/>
  <c r="F49" i="26" s="1"/>
  <c r="E48" i="26"/>
  <c r="F48" i="26" s="1"/>
  <c r="E47" i="26"/>
  <c r="F47" i="26" s="1"/>
  <c r="F45" i="26"/>
  <c r="E44" i="26"/>
  <c r="F44" i="26" s="1"/>
  <c r="E43" i="26"/>
  <c r="F43" i="26" s="1"/>
  <c r="E42" i="26"/>
  <c r="F42" i="26" s="1"/>
  <c r="E41" i="26"/>
  <c r="F41" i="26" s="1"/>
  <c r="E40" i="26"/>
  <c r="F40" i="26" s="1"/>
  <c r="E39" i="26"/>
  <c r="F39" i="26" s="1"/>
  <c r="E38" i="26"/>
  <c r="F38" i="26" s="1"/>
  <c r="E30" i="26"/>
  <c r="F30" i="26" s="1"/>
  <c r="E29" i="26"/>
  <c r="F29" i="26" s="1"/>
  <c r="E28" i="26"/>
  <c r="F28" i="26" s="1"/>
  <c r="E27" i="26"/>
  <c r="F27" i="26" s="1"/>
  <c r="E26" i="26"/>
  <c r="F26" i="26" s="1"/>
  <c r="E22" i="26"/>
  <c r="F22" i="26" s="1"/>
  <c r="E21" i="26"/>
  <c r="F21" i="26" s="1"/>
  <c r="E20" i="26"/>
  <c r="F20" i="26" s="1"/>
  <c r="E19" i="26"/>
  <c r="F19" i="26" s="1"/>
  <c r="E18" i="26"/>
  <c r="F18" i="26" s="1"/>
  <c r="E17" i="26"/>
  <c r="F17" i="26" s="1"/>
  <c r="E16" i="26"/>
  <c r="F16" i="26" s="1"/>
  <c r="E15" i="26"/>
  <c r="F15" i="26" s="1"/>
  <c r="E14" i="26"/>
  <c r="F14" i="26" s="1"/>
  <c r="E13" i="26"/>
  <c r="F13" i="26" s="1"/>
  <c r="E12" i="26"/>
  <c r="F12" i="26" s="1"/>
  <c r="C3" i="24"/>
  <c r="F6" i="29" s="1"/>
  <c r="F47" i="29" s="1"/>
  <c r="E130" i="24"/>
  <c r="E129" i="24"/>
  <c r="F129" i="24" s="1"/>
  <c r="E128" i="24"/>
  <c r="F128" i="24" s="1"/>
  <c r="E127" i="24"/>
  <c r="F127" i="24" s="1"/>
  <c r="E126" i="24"/>
  <c r="E125" i="24"/>
  <c r="F125" i="24" s="1"/>
  <c r="E124" i="24"/>
  <c r="F124" i="24" s="1"/>
  <c r="E123" i="24"/>
  <c r="F123" i="24" s="1"/>
  <c r="E122" i="24"/>
  <c r="F118" i="24"/>
  <c r="F117" i="24"/>
  <c r="E112" i="24"/>
  <c r="F112" i="24" s="1"/>
  <c r="E111" i="24"/>
  <c r="E110" i="24"/>
  <c r="F110" i="24" s="1"/>
  <c r="E109" i="24"/>
  <c r="F109" i="24" s="1"/>
  <c r="E108" i="24"/>
  <c r="F108" i="24" s="1"/>
  <c r="E107" i="24"/>
  <c r="E106" i="24"/>
  <c r="F106" i="24" s="1"/>
  <c r="E105" i="24"/>
  <c r="F105" i="24" s="1"/>
  <c r="E104" i="24"/>
  <c r="F104" i="24" s="1"/>
  <c r="E103" i="24"/>
  <c r="E102" i="24"/>
  <c r="F102" i="24" s="1"/>
  <c r="E101" i="24"/>
  <c r="F101" i="24" s="1"/>
  <c r="E100" i="24"/>
  <c r="F100" i="24" s="1"/>
  <c r="E99" i="24"/>
  <c r="E98" i="24"/>
  <c r="F98" i="24" s="1"/>
  <c r="E97" i="24"/>
  <c r="F97" i="24" s="1"/>
  <c r="E96" i="24"/>
  <c r="F96" i="24" s="1"/>
  <c r="E95" i="24"/>
  <c r="E94" i="24"/>
  <c r="F94" i="24" s="1"/>
  <c r="E93" i="24"/>
  <c r="F93" i="24" s="1"/>
  <c r="E92" i="24"/>
  <c r="F92" i="24" s="1"/>
  <c r="E91" i="24"/>
  <c r="E90" i="24"/>
  <c r="F90" i="24" s="1"/>
  <c r="E89" i="24"/>
  <c r="F89" i="24" s="1"/>
  <c r="E88" i="24"/>
  <c r="F88" i="24" s="1"/>
  <c r="E87" i="24"/>
  <c r="E86" i="24"/>
  <c r="F86" i="24" s="1"/>
  <c r="E85" i="24"/>
  <c r="F85" i="24" s="1"/>
  <c r="E84" i="24"/>
  <c r="F84" i="24" s="1"/>
  <c r="E83" i="24"/>
  <c r="E82" i="24"/>
  <c r="F82" i="24" s="1"/>
  <c r="E81" i="24"/>
  <c r="F81" i="24" s="1"/>
  <c r="E80" i="24"/>
  <c r="F80" i="24" s="1"/>
  <c r="E79" i="24"/>
  <c r="E78" i="24"/>
  <c r="F78" i="24" s="1"/>
  <c r="E77" i="24"/>
  <c r="F77" i="24" s="1"/>
  <c r="E76" i="24"/>
  <c r="F76" i="24" s="1"/>
  <c r="E75" i="24"/>
  <c r="E74" i="24"/>
  <c r="F74" i="24" s="1"/>
  <c r="E73" i="24"/>
  <c r="F73" i="24" s="1"/>
  <c r="E72" i="24"/>
  <c r="F72" i="24" s="1"/>
  <c r="E71" i="24"/>
  <c r="E70" i="24"/>
  <c r="F70" i="24" s="1"/>
  <c r="E69" i="24"/>
  <c r="F69" i="24" s="1"/>
  <c r="E68" i="24"/>
  <c r="F68" i="24" s="1"/>
  <c r="E67" i="24"/>
  <c r="E66" i="24"/>
  <c r="F66" i="24" s="1"/>
  <c r="E65" i="24"/>
  <c r="F65" i="24" s="1"/>
  <c r="E64" i="24"/>
  <c r="F64" i="24" s="1"/>
  <c r="E63" i="24"/>
  <c r="E62" i="24"/>
  <c r="F62" i="24" s="1"/>
  <c r="E58" i="24"/>
  <c r="F58" i="24" s="1"/>
  <c r="E57" i="24"/>
  <c r="F57" i="24" s="1"/>
  <c r="E56" i="24"/>
  <c r="E55" i="24"/>
  <c r="F55" i="24" s="1"/>
  <c r="E54" i="24"/>
  <c r="F54" i="24" s="1"/>
  <c r="E53" i="24"/>
  <c r="F53" i="24" s="1"/>
  <c r="E52" i="24"/>
  <c r="E51" i="24"/>
  <c r="F51" i="24" s="1"/>
  <c r="E50" i="24"/>
  <c r="F50" i="24" s="1"/>
  <c r="E49" i="24"/>
  <c r="F49" i="24" s="1"/>
  <c r="E48" i="24"/>
  <c r="E47" i="24"/>
  <c r="F47" i="24" s="1"/>
  <c r="F45" i="24"/>
  <c r="E44" i="24"/>
  <c r="F44" i="24" s="1"/>
  <c r="E43" i="24"/>
  <c r="E42" i="24"/>
  <c r="F42" i="24" s="1"/>
  <c r="E41" i="24"/>
  <c r="F41" i="24" s="1"/>
  <c r="E40" i="24"/>
  <c r="F40" i="24" s="1"/>
  <c r="E39" i="24"/>
  <c r="E38" i="24"/>
  <c r="F38" i="24" s="1"/>
  <c r="E30" i="24"/>
  <c r="F30" i="24" s="1"/>
  <c r="E29" i="24"/>
  <c r="F29" i="24" s="1"/>
  <c r="E28" i="24"/>
  <c r="E27" i="24"/>
  <c r="F27" i="24" s="1"/>
  <c r="E26" i="24"/>
  <c r="F26" i="24" s="1"/>
  <c r="E22" i="24"/>
  <c r="F22" i="24" s="1"/>
  <c r="E21" i="24"/>
  <c r="E20" i="24"/>
  <c r="F20" i="24" s="1"/>
  <c r="E19" i="24"/>
  <c r="F19" i="24" s="1"/>
  <c r="E18" i="24"/>
  <c r="F18" i="24" s="1"/>
  <c r="E17" i="24"/>
  <c r="E16" i="24"/>
  <c r="F16" i="24" s="1"/>
  <c r="E15" i="24"/>
  <c r="F15" i="24" s="1"/>
  <c r="E14" i="24"/>
  <c r="F14" i="24" s="1"/>
  <c r="E13" i="24"/>
  <c r="E12" i="24"/>
  <c r="F12" i="24" s="1"/>
  <c r="E6" i="29"/>
  <c r="E47" i="29" l="1"/>
  <c r="E20" i="29"/>
  <c r="E26" i="29"/>
  <c r="E15" i="29"/>
  <c r="E19" i="29"/>
  <c r="E11" i="29"/>
  <c r="E18" i="29"/>
  <c r="E22" i="29"/>
  <c r="E17" i="29"/>
  <c r="M6" i="29"/>
  <c r="F13" i="24"/>
  <c r="F17" i="24"/>
  <c r="F21" i="24"/>
  <c r="F28" i="24"/>
  <c r="F39" i="24"/>
  <c r="F43" i="24"/>
  <c r="F48" i="24"/>
  <c r="F52" i="24"/>
  <c r="F56" i="24"/>
  <c r="F63" i="24"/>
  <c r="F67" i="24"/>
  <c r="F71" i="24"/>
  <c r="F75" i="24"/>
  <c r="F79" i="24"/>
  <c r="F83" i="24"/>
  <c r="F87" i="24"/>
  <c r="F91" i="24"/>
  <c r="F95" i="24"/>
  <c r="F99" i="24"/>
  <c r="F103" i="24"/>
  <c r="F107" i="24"/>
  <c r="F111" i="24"/>
  <c r="F122" i="24"/>
  <c r="F126" i="24"/>
  <c r="F130" i="24"/>
  <c r="F14" i="32"/>
  <c r="F17" i="32"/>
  <c r="F21" i="32"/>
  <c r="F45" i="32"/>
  <c r="F57" i="32"/>
  <c r="F63" i="32"/>
  <c r="F67" i="32"/>
  <c r="F86" i="32"/>
  <c r="F90" i="32"/>
  <c r="F93" i="32"/>
  <c r="F97" i="32"/>
  <c r="F22" i="32"/>
  <c r="F28" i="32"/>
  <c r="F42" i="32"/>
  <c r="F54" i="32"/>
  <c r="F68" i="32"/>
  <c r="F72" i="32"/>
  <c r="F79" i="32"/>
  <c r="F83" i="32"/>
  <c r="F102" i="32"/>
  <c r="F106" i="32"/>
  <c r="F109" i="32"/>
  <c r="F16" i="32"/>
  <c r="F20" i="32"/>
  <c r="F29" i="32"/>
  <c r="F39" i="32"/>
  <c r="F43" i="32"/>
  <c r="F47" i="32"/>
  <c r="F53" i="32"/>
  <c r="F62" i="32"/>
  <c r="F66" i="32"/>
  <c r="F69" i="32"/>
  <c r="F73" i="32"/>
  <c r="F76" i="32"/>
  <c r="F80" i="32"/>
  <c r="F87" i="32"/>
  <c r="F94" i="32"/>
  <c r="F98" i="32"/>
  <c r="F101" i="32"/>
  <c r="F105" i="32"/>
  <c r="F108" i="32"/>
  <c r="F124" i="32"/>
  <c r="F12" i="32"/>
  <c r="F18" i="32"/>
  <c r="F27" i="32"/>
  <c r="F41" i="32"/>
  <c r="F51" i="32"/>
  <c r="F55" i="32"/>
  <c r="F64" i="32"/>
  <c r="F71" i="32"/>
  <c r="F78" i="32"/>
  <c r="F82" i="32"/>
  <c r="F85" i="32"/>
  <c r="F89" i="32"/>
  <c r="F92" i="32"/>
  <c r="F96" i="32"/>
  <c r="F103" i="32"/>
  <c r="F110" i="32"/>
  <c r="F122" i="32"/>
  <c r="F130" i="32"/>
  <c r="F123" i="32"/>
  <c r="F129" i="32"/>
  <c r="F129" i="30"/>
  <c r="J7" i="29"/>
  <c r="J48" i="29" s="1"/>
  <c r="F117" i="20"/>
  <c r="F118" i="20"/>
  <c r="F45" i="20"/>
  <c r="F23" i="32"/>
  <c r="F112" i="32"/>
  <c r="F125" i="32"/>
  <c r="F128" i="32"/>
  <c r="F117" i="32"/>
  <c r="F126" i="32"/>
  <c r="F23" i="30"/>
  <c r="F125" i="30"/>
  <c r="F128" i="30"/>
  <c r="F124" i="30"/>
  <c r="F23" i="28"/>
  <c r="F31" i="28"/>
  <c r="F23" i="26"/>
  <c r="F31" i="32"/>
  <c r="F31" i="30"/>
  <c r="F31" i="26"/>
  <c r="F23" i="24"/>
  <c r="F31" i="24"/>
  <c r="M7" i="29" l="1"/>
  <c r="N6" i="29" s="1"/>
  <c r="I5" i="1"/>
  <c r="J5" i="1" s="1"/>
  <c r="K5" i="1" s="1"/>
  <c r="L5" i="1" s="1"/>
  <c r="M5" i="1" s="1"/>
  <c r="N5" i="1" s="1"/>
  <c r="O5" i="1" s="1"/>
  <c r="P5" i="1" s="1"/>
  <c r="Q5" i="1" s="1"/>
  <c r="R5" i="1" s="1"/>
  <c r="S5" i="1" s="1"/>
  <c r="N7" i="29" l="1"/>
  <c r="E27" i="20"/>
  <c r="F27" i="20" s="1"/>
  <c r="E28" i="20"/>
  <c r="F28" i="20" s="1"/>
  <c r="E29" i="20"/>
  <c r="F29" i="20" s="1"/>
  <c r="E30" i="20"/>
  <c r="F30" i="20" s="1"/>
  <c r="E26" i="20"/>
  <c r="F26" i="20" s="1"/>
  <c r="E13" i="20"/>
  <c r="F13" i="20" s="1"/>
  <c r="E14" i="20"/>
  <c r="F14" i="20" s="1"/>
  <c r="E15" i="20"/>
  <c r="F15" i="20" s="1"/>
  <c r="E16" i="20"/>
  <c r="F16" i="20" s="1"/>
  <c r="E17" i="20"/>
  <c r="F17" i="20" s="1"/>
  <c r="E18" i="20"/>
  <c r="F18" i="20" s="1"/>
  <c r="E19" i="20"/>
  <c r="F19" i="20" s="1"/>
  <c r="E20" i="20"/>
  <c r="F20" i="20" s="1"/>
  <c r="E21" i="20"/>
  <c r="F21" i="20" s="1"/>
  <c r="E22" i="20"/>
  <c r="F22" i="20" s="1"/>
  <c r="E12" i="20"/>
  <c r="F12" i="20" s="1"/>
  <c r="C13" i="16"/>
  <c r="C26" i="20"/>
  <c r="C27" i="20"/>
  <c r="C12" i="20"/>
  <c r="J50" i="29"/>
  <c r="I50" i="29"/>
  <c r="H50" i="29"/>
  <c r="G50" i="29"/>
  <c r="F50" i="29"/>
  <c r="E50" i="29"/>
  <c r="E10" i="29" s="1"/>
  <c r="E63" i="20"/>
  <c r="F63" i="20" s="1"/>
  <c r="E64" i="20"/>
  <c r="F64" i="20" s="1"/>
  <c r="E65" i="20"/>
  <c r="F65" i="20" s="1"/>
  <c r="E66" i="20"/>
  <c r="F66" i="20" s="1"/>
  <c r="E67" i="20"/>
  <c r="F67" i="20" s="1"/>
  <c r="E68" i="20"/>
  <c r="F68" i="20" s="1"/>
  <c r="E69" i="20"/>
  <c r="F69" i="20" s="1"/>
  <c r="E70" i="20"/>
  <c r="F70" i="20" s="1"/>
  <c r="E71" i="20"/>
  <c r="F71" i="20" s="1"/>
  <c r="E72" i="20"/>
  <c r="F72" i="20" s="1"/>
  <c r="E73" i="20"/>
  <c r="F73" i="20" s="1"/>
  <c r="E74" i="20"/>
  <c r="F74" i="20" s="1"/>
  <c r="E75" i="20"/>
  <c r="F75" i="20" s="1"/>
  <c r="E76" i="20"/>
  <c r="F76" i="20" s="1"/>
  <c r="E77" i="20"/>
  <c r="F77" i="20" s="1"/>
  <c r="E78" i="20"/>
  <c r="F78" i="20" s="1"/>
  <c r="E79" i="20"/>
  <c r="F79" i="20" s="1"/>
  <c r="E80" i="20"/>
  <c r="F80" i="20" s="1"/>
  <c r="E81" i="20"/>
  <c r="F81" i="20" s="1"/>
  <c r="E82" i="20"/>
  <c r="F82" i="20" s="1"/>
  <c r="E83" i="20"/>
  <c r="F83" i="20" s="1"/>
  <c r="E84" i="20"/>
  <c r="F84" i="20" s="1"/>
  <c r="E85" i="20"/>
  <c r="F85" i="20" s="1"/>
  <c r="E86" i="20"/>
  <c r="F86" i="20" s="1"/>
  <c r="E87" i="20"/>
  <c r="F87" i="20" s="1"/>
  <c r="E88" i="20"/>
  <c r="F88" i="20" s="1"/>
  <c r="E89" i="20"/>
  <c r="F89" i="20" s="1"/>
  <c r="E90" i="20"/>
  <c r="F90" i="20" s="1"/>
  <c r="E91" i="20"/>
  <c r="F91" i="20" s="1"/>
  <c r="E92" i="20"/>
  <c r="F92" i="20" s="1"/>
  <c r="E93" i="20"/>
  <c r="F93" i="20" s="1"/>
  <c r="E94" i="20"/>
  <c r="F94" i="20" s="1"/>
  <c r="E95" i="20"/>
  <c r="F95" i="20" s="1"/>
  <c r="E96" i="20"/>
  <c r="F96" i="20" s="1"/>
  <c r="E97" i="20"/>
  <c r="F97" i="20" s="1"/>
  <c r="E98" i="20"/>
  <c r="F98" i="20" s="1"/>
  <c r="E99" i="20"/>
  <c r="F99" i="20" s="1"/>
  <c r="E100" i="20"/>
  <c r="F100" i="20" s="1"/>
  <c r="E101" i="20"/>
  <c r="F101" i="20" s="1"/>
  <c r="E102" i="20"/>
  <c r="F102" i="20" s="1"/>
  <c r="E103" i="20"/>
  <c r="F103" i="20" s="1"/>
  <c r="E104" i="20"/>
  <c r="F104" i="20" s="1"/>
  <c r="E105" i="20"/>
  <c r="F105" i="20" s="1"/>
  <c r="E106" i="20"/>
  <c r="F106" i="20" s="1"/>
  <c r="E107" i="20"/>
  <c r="F107" i="20" s="1"/>
  <c r="E108" i="20"/>
  <c r="F108" i="20" s="1"/>
  <c r="E109" i="20"/>
  <c r="F109" i="20" s="1"/>
  <c r="E110" i="20"/>
  <c r="F110" i="20" s="1"/>
  <c r="E111" i="20"/>
  <c r="F111" i="20" s="1"/>
  <c r="E112" i="20"/>
  <c r="F112" i="20" s="1"/>
  <c r="E62" i="20"/>
  <c r="F62" i="20" s="1"/>
  <c r="E48" i="20"/>
  <c r="F48" i="20" s="1"/>
  <c r="E49" i="20"/>
  <c r="F49" i="20" s="1"/>
  <c r="E50" i="20"/>
  <c r="F50" i="20" s="1"/>
  <c r="E51" i="20"/>
  <c r="F51" i="20" s="1"/>
  <c r="E52" i="20"/>
  <c r="F52" i="20" s="1"/>
  <c r="E53" i="20"/>
  <c r="F53" i="20" s="1"/>
  <c r="E54" i="20"/>
  <c r="F54" i="20" s="1"/>
  <c r="E55" i="20"/>
  <c r="F55" i="20" s="1"/>
  <c r="E56" i="20"/>
  <c r="F56" i="20" s="1"/>
  <c r="E57" i="20"/>
  <c r="F57" i="20" s="1"/>
  <c r="E58" i="20"/>
  <c r="F58" i="20" s="1"/>
  <c r="E47" i="20"/>
  <c r="F47" i="20" s="1"/>
  <c r="E39" i="20"/>
  <c r="F39" i="20" s="1"/>
  <c r="E40" i="20"/>
  <c r="F40" i="20" s="1"/>
  <c r="E41" i="20"/>
  <c r="F41" i="20" s="1"/>
  <c r="E42" i="20"/>
  <c r="F42" i="20" s="1"/>
  <c r="E43" i="20"/>
  <c r="F43" i="20" s="1"/>
  <c r="E44" i="20"/>
  <c r="F44" i="20" s="1"/>
  <c r="E38" i="20"/>
  <c r="F38" i="20" s="1"/>
  <c r="N27" i="1"/>
  <c r="O27" i="1" s="1"/>
  <c r="P27" i="1" s="1"/>
  <c r="Q27" i="1" s="1"/>
  <c r="R27" i="1" s="1"/>
  <c r="S27" i="1" s="1"/>
  <c r="N29" i="1"/>
  <c r="O29" i="1" s="1"/>
  <c r="P29" i="1" s="1"/>
  <c r="Q29" i="1" s="1"/>
  <c r="R29" i="1" s="1"/>
  <c r="S29" i="1" s="1"/>
  <c r="N31" i="1"/>
  <c r="O31" i="1" s="1"/>
  <c r="P31" i="1" s="1"/>
  <c r="Q31" i="1" s="1"/>
  <c r="R31" i="1" s="1"/>
  <c r="S31" i="1" s="1"/>
  <c r="N33" i="1"/>
  <c r="O33" i="1" s="1"/>
  <c r="P33" i="1" s="1"/>
  <c r="Q33" i="1" s="1"/>
  <c r="R33" i="1" s="1"/>
  <c r="S33" i="1" s="1"/>
  <c r="N34" i="1"/>
  <c r="O34" i="1" s="1"/>
  <c r="P34" i="1" s="1"/>
  <c r="Q34" i="1" s="1"/>
  <c r="R34" i="1" s="1"/>
  <c r="S34" i="1" s="1"/>
  <c r="N35" i="1"/>
  <c r="O35" i="1" s="1"/>
  <c r="P35" i="1" s="1"/>
  <c r="Q35" i="1" s="1"/>
  <c r="R35" i="1" s="1"/>
  <c r="S35" i="1" s="1"/>
  <c r="N36" i="1"/>
  <c r="O36" i="1" s="1"/>
  <c r="P36" i="1" s="1"/>
  <c r="Q36" i="1" s="1"/>
  <c r="R36" i="1" s="1"/>
  <c r="S36" i="1" s="1"/>
  <c r="N37" i="1"/>
  <c r="O37" i="1" s="1"/>
  <c r="P37" i="1" s="1"/>
  <c r="Q37" i="1" s="1"/>
  <c r="R37" i="1" s="1"/>
  <c r="S37" i="1" s="1"/>
  <c r="N38" i="1"/>
  <c r="O38" i="1" s="1"/>
  <c r="P38" i="1" s="1"/>
  <c r="Q38" i="1" s="1"/>
  <c r="R38" i="1" s="1"/>
  <c r="S38" i="1" s="1"/>
  <c r="I25" i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I26" i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I27" i="1"/>
  <c r="J27" i="1" s="1"/>
  <c r="I28" i="1"/>
  <c r="J28" i="1" s="1"/>
  <c r="N28" i="1" s="1"/>
  <c r="O28" i="1" s="1"/>
  <c r="P28" i="1" s="1"/>
  <c r="Q28" i="1" s="1"/>
  <c r="R28" i="1" s="1"/>
  <c r="S28" i="1" s="1"/>
  <c r="I29" i="1"/>
  <c r="J29" i="1" s="1"/>
  <c r="I30" i="1"/>
  <c r="J30" i="1" s="1"/>
  <c r="N30" i="1" s="1"/>
  <c r="O30" i="1" s="1"/>
  <c r="P30" i="1" s="1"/>
  <c r="Q30" i="1" s="1"/>
  <c r="R30" i="1" s="1"/>
  <c r="S30" i="1" s="1"/>
  <c r="I31" i="1"/>
  <c r="J31" i="1" s="1"/>
  <c r="I32" i="1"/>
  <c r="J32" i="1" s="1"/>
  <c r="N32" i="1" s="1"/>
  <c r="O32" i="1" s="1"/>
  <c r="P32" i="1" s="1"/>
  <c r="Q32" i="1" s="1"/>
  <c r="R32" i="1" s="1"/>
  <c r="S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I40" i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I41" i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I42" i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I43" i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I24" i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I46" i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I19" i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I21" i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I22" i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I18" i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I14" i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D82" i="33" l="1"/>
  <c r="B82" i="33"/>
  <c r="A82" i="33"/>
  <c r="D81" i="33"/>
  <c r="B81" i="33"/>
  <c r="A81" i="33"/>
  <c r="D80" i="33"/>
  <c r="B80" i="33"/>
  <c r="A80" i="33"/>
  <c r="D79" i="33"/>
  <c r="B79" i="33"/>
  <c r="A79" i="33"/>
  <c r="D78" i="33"/>
  <c r="B78" i="33"/>
  <c r="A78" i="33"/>
  <c r="D77" i="33"/>
  <c r="B77" i="33"/>
  <c r="A77" i="33"/>
  <c r="D76" i="33"/>
  <c r="B76" i="33"/>
  <c r="A76" i="33"/>
  <c r="D75" i="33"/>
  <c r="B75" i="33"/>
  <c r="A75" i="33"/>
  <c r="D74" i="33"/>
  <c r="B74" i="33"/>
  <c r="A74" i="33"/>
  <c r="D73" i="33"/>
  <c r="B73" i="33"/>
  <c r="A73" i="33"/>
  <c r="D72" i="33"/>
  <c r="B72" i="33"/>
  <c r="A72" i="33"/>
  <c r="D71" i="33"/>
  <c r="B71" i="33"/>
  <c r="A71" i="33"/>
  <c r="D70" i="33"/>
  <c r="B70" i="33"/>
  <c r="A70" i="33"/>
  <c r="D69" i="33"/>
  <c r="B69" i="33"/>
  <c r="A69" i="33"/>
  <c r="D68" i="33"/>
  <c r="B68" i="33"/>
  <c r="A68" i="33"/>
  <c r="D67" i="33"/>
  <c r="B67" i="33"/>
  <c r="A67" i="33"/>
  <c r="D66" i="33"/>
  <c r="B66" i="33"/>
  <c r="A66" i="33"/>
  <c r="D65" i="33"/>
  <c r="B65" i="33"/>
  <c r="A65" i="33"/>
  <c r="D64" i="33"/>
  <c r="B64" i="33"/>
  <c r="A64" i="33"/>
  <c r="D63" i="33"/>
  <c r="B63" i="33"/>
  <c r="A63" i="33"/>
  <c r="D62" i="33"/>
  <c r="B62" i="33"/>
  <c r="A62" i="33"/>
  <c r="D61" i="33"/>
  <c r="B61" i="33"/>
  <c r="A61" i="33"/>
  <c r="D60" i="33"/>
  <c r="B60" i="33"/>
  <c r="A60" i="33"/>
  <c r="D59" i="33"/>
  <c r="B59" i="33"/>
  <c r="A59" i="33"/>
  <c r="D58" i="33"/>
  <c r="B58" i="33"/>
  <c r="A58" i="33"/>
  <c r="D57" i="33"/>
  <c r="B57" i="33"/>
  <c r="A57" i="33"/>
  <c r="D56" i="33"/>
  <c r="B56" i="33"/>
  <c r="A56" i="33"/>
  <c r="D55" i="33"/>
  <c r="B55" i="33"/>
  <c r="A55" i="33"/>
  <c r="D54" i="33"/>
  <c r="B54" i="33"/>
  <c r="A54" i="33"/>
  <c r="D53" i="33"/>
  <c r="B53" i="33"/>
  <c r="A53" i="33"/>
  <c r="D52" i="33"/>
  <c r="B52" i="33"/>
  <c r="A52" i="33"/>
  <c r="D51" i="33"/>
  <c r="B51" i="33"/>
  <c r="A51" i="33"/>
  <c r="D50" i="33"/>
  <c r="B50" i="33"/>
  <c r="A50" i="33"/>
  <c r="D49" i="33"/>
  <c r="B49" i="33"/>
  <c r="A49" i="33"/>
  <c r="D48" i="33"/>
  <c r="B48" i="33"/>
  <c r="A48" i="33"/>
  <c r="D47" i="33"/>
  <c r="B47" i="33"/>
  <c r="A47" i="33"/>
  <c r="D46" i="33"/>
  <c r="B46" i="33"/>
  <c r="A46" i="33"/>
  <c r="D45" i="33"/>
  <c r="B45" i="33"/>
  <c r="A45" i="33"/>
  <c r="D44" i="33"/>
  <c r="B44" i="33"/>
  <c r="A44" i="33"/>
  <c r="D43" i="33"/>
  <c r="B43" i="33"/>
  <c r="A43" i="33"/>
  <c r="D42" i="33"/>
  <c r="B42" i="33"/>
  <c r="A42" i="33"/>
  <c r="D41" i="33"/>
  <c r="B41" i="33"/>
  <c r="A41" i="33"/>
  <c r="D40" i="33"/>
  <c r="B40" i="33"/>
  <c r="A40" i="33"/>
  <c r="D39" i="33"/>
  <c r="B39" i="33"/>
  <c r="A39" i="33"/>
  <c r="D38" i="33"/>
  <c r="B38" i="33"/>
  <c r="A38" i="33"/>
  <c r="D37" i="33"/>
  <c r="B37" i="33"/>
  <c r="A37" i="33"/>
  <c r="D36" i="33"/>
  <c r="B36" i="33"/>
  <c r="A36" i="33"/>
  <c r="D35" i="33"/>
  <c r="B35" i="33"/>
  <c r="A35" i="33"/>
  <c r="D34" i="33"/>
  <c r="B34" i="33"/>
  <c r="A34" i="33"/>
  <c r="D33" i="33"/>
  <c r="B33" i="33"/>
  <c r="A33" i="33"/>
  <c r="D32" i="33"/>
  <c r="B32" i="33"/>
  <c r="A32" i="33"/>
  <c r="D31" i="33"/>
  <c r="B31" i="33"/>
  <c r="A31" i="33"/>
  <c r="D30" i="33"/>
  <c r="B30" i="33"/>
  <c r="A30" i="33"/>
  <c r="D29" i="33"/>
  <c r="B29" i="33"/>
  <c r="A29" i="33"/>
  <c r="D28" i="33"/>
  <c r="B28" i="33"/>
  <c r="A28" i="33"/>
  <c r="D27" i="33"/>
  <c r="B27" i="33"/>
  <c r="A27" i="33"/>
  <c r="D26" i="33"/>
  <c r="B26" i="33"/>
  <c r="A26" i="33"/>
  <c r="D25" i="33"/>
  <c r="B25" i="33"/>
  <c r="A25" i="33"/>
  <c r="D24" i="33"/>
  <c r="B24" i="33"/>
  <c r="A24" i="33"/>
  <c r="D23" i="33"/>
  <c r="B23" i="33"/>
  <c r="A23" i="33"/>
  <c r="D22" i="33"/>
  <c r="B22" i="33"/>
  <c r="A22" i="33"/>
  <c r="D21" i="33"/>
  <c r="B21" i="33"/>
  <c r="A21" i="33"/>
  <c r="D20" i="33"/>
  <c r="B20" i="33"/>
  <c r="A20" i="33"/>
  <c r="D19" i="33"/>
  <c r="B19" i="33"/>
  <c r="A19" i="33"/>
  <c r="D18" i="33"/>
  <c r="B18" i="33"/>
  <c r="A18" i="33"/>
  <c r="D17" i="33"/>
  <c r="B17" i="33"/>
  <c r="A17" i="33"/>
  <c r="D16" i="33"/>
  <c r="B16" i="33"/>
  <c r="A16" i="33"/>
  <c r="D15" i="33"/>
  <c r="B15" i="33"/>
  <c r="A15" i="33"/>
  <c r="D14" i="33"/>
  <c r="B14" i="33"/>
  <c r="A14" i="33"/>
  <c r="D13" i="33"/>
  <c r="B13" i="33"/>
  <c r="A13" i="33"/>
  <c r="D12" i="33"/>
  <c r="B12" i="33"/>
  <c r="A12" i="33"/>
  <c r="D11" i="33"/>
  <c r="B11" i="33"/>
  <c r="A11" i="33"/>
  <c r="D10" i="33"/>
  <c r="B10" i="33"/>
  <c r="A10" i="33"/>
  <c r="D9" i="33"/>
  <c r="B9" i="33"/>
  <c r="A9" i="33"/>
  <c r="D8" i="33"/>
  <c r="B8" i="33"/>
  <c r="A8" i="33"/>
  <c r="D7" i="33"/>
  <c r="B7" i="33"/>
  <c r="A7" i="33"/>
  <c r="D6" i="33"/>
  <c r="B6" i="33"/>
  <c r="A6" i="33"/>
  <c r="D5" i="33"/>
  <c r="B5" i="33"/>
  <c r="A5" i="33"/>
  <c r="D4" i="33"/>
  <c r="B4" i="33"/>
  <c r="A4" i="33"/>
  <c r="D2" i="33"/>
  <c r="B2" i="33"/>
  <c r="D1" i="33"/>
  <c r="B1" i="33"/>
  <c r="A1" i="33"/>
  <c r="D120" i="33" l="1"/>
  <c r="B120" i="33"/>
  <c r="A120" i="33"/>
  <c r="D119" i="33"/>
  <c r="B119" i="33"/>
  <c r="A119" i="33"/>
  <c r="D118" i="33"/>
  <c r="B118" i="33"/>
  <c r="A118" i="33"/>
  <c r="D117" i="33"/>
  <c r="B117" i="33"/>
  <c r="A117" i="33"/>
  <c r="D116" i="33"/>
  <c r="B116" i="33"/>
  <c r="A116" i="33"/>
  <c r="D115" i="33"/>
  <c r="B115" i="33"/>
  <c r="A115" i="33"/>
  <c r="D114" i="33"/>
  <c r="B114" i="33"/>
  <c r="A114" i="33"/>
  <c r="D113" i="33"/>
  <c r="B113" i="33"/>
  <c r="A113" i="33"/>
  <c r="D112" i="33"/>
  <c r="B112" i="33"/>
  <c r="A112" i="33"/>
  <c r="D111" i="33"/>
  <c r="B111" i="33"/>
  <c r="A111" i="33"/>
  <c r="D110" i="33"/>
  <c r="B110" i="33"/>
  <c r="A110" i="33"/>
  <c r="D109" i="33"/>
  <c r="B109" i="33"/>
  <c r="A109" i="33"/>
  <c r="D108" i="33"/>
  <c r="B108" i="33"/>
  <c r="A108" i="33"/>
  <c r="D107" i="33"/>
  <c r="B107" i="33"/>
  <c r="A107" i="33"/>
  <c r="D106" i="33"/>
  <c r="B106" i="33"/>
  <c r="A106" i="33"/>
  <c r="D105" i="33"/>
  <c r="B105" i="33"/>
  <c r="A105" i="33"/>
  <c r="D104" i="33"/>
  <c r="B104" i="33"/>
  <c r="A104" i="33"/>
  <c r="D103" i="33"/>
  <c r="B103" i="33"/>
  <c r="A103" i="33"/>
  <c r="D102" i="33"/>
  <c r="B102" i="33"/>
  <c r="A102" i="33"/>
  <c r="D101" i="33"/>
  <c r="B101" i="33"/>
  <c r="A101" i="33"/>
  <c r="D100" i="33"/>
  <c r="B100" i="33"/>
  <c r="A100" i="33"/>
  <c r="D99" i="33"/>
  <c r="B99" i="33"/>
  <c r="A99" i="33"/>
  <c r="D98" i="33"/>
  <c r="B98" i="33"/>
  <c r="A98" i="33"/>
  <c r="D97" i="33"/>
  <c r="B97" i="33"/>
  <c r="A97" i="33"/>
  <c r="D96" i="33"/>
  <c r="B96" i="33"/>
  <c r="A96" i="33"/>
  <c r="D95" i="33"/>
  <c r="B95" i="33"/>
  <c r="A95" i="33"/>
  <c r="D94" i="33"/>
  <c r="B94" i="33"/>
  <c r="A94" i="33"/>
  <c r="D93" i="33"/>
  <c r="B93" i="33"/>
  <c r="A93" i="33"/>
  <c r="D92" i="33"/>
  <c r="B92" i="33"/>
  <c r="A92" i="33"/>
  <c r="D91" i="33"/>
  <c r="B91" i="33"/>
  <c r="A91" i="33"/>
  <c r="D90" i="33"/>
  <c r="B90" i="33"/>
  <c r="A90" i="33"/>
  <c r="D89" i="33"/>
  <c r="B89" i="33"/>
  <c r="A89" i="33"/>
  <c r="D88" i="33"/>
  <c r="B88" i="33"/>
  <c r="A88" i="33"/>
  <c r="D87" i="33"/>
  <c r="B87" i="33"/>
  <c r="A87" i="33"/>
  <c r="D86" i="33"/>
  <c r="B86" i="33"/>
  <c r="A86" i="33"/>
  <c r="D85" i="33"/>
  <c r="B85" i="33"/>
  <c r="A85" i="33"/>
  <c r="D84" i="33"/>
  <c r="B84" i="33"/>
  <c r="A84" i="33"/>
  <c r="D83" i="33"/>
  <c r="B83" i="33"/>
  <c r="A83" i="33"/>
  <c r="G56" i="32" l="1"/>
  <c r="G57" i="32"/>
  <c r="G58" i="32"/>
  <c r="G56" i="30"/>
  <c r="G57" i="30"/>
  <c r="G58" i="30"/>
  <c r="G56" i="28"/>
  <c r="G57" i="28"/>
  <c r="G58" i="28"/>
  <c r="G56" i="26"/>
  <c r="G57" i="26"/>
  <c r="G58" i="26"/>
  <c r="G56" i="24"/>
  <c r="G57" i="24"/>
  <c r="G58" i="24"/>
  <c r="G56" i="20"/>
  <c r="G57" i="20"/>
  <c r="G58" i="20"/>
  <c r="G48" i="32" l="1"/>
  <c r="G49" i="32"/>
  <c r="G50" i="32"/>
  <c r="G51" i="32"/>
  <c r="G52" i="32"/>
  <c r="G53" i="32"/>
  <c r="G54" i="32"/>
  <c r="G55" i="32"/>
  <c r="G47" i="32"/>
  <c r="G48" i="30"/>
  <c r="G49" i="30"/>
  <c r="G50" i="30"/>
  <c r="G51" i="30"/>
  <c r="G52" i="30"/>
  <c r="G53" i="30"/>
  <c r="G54" i="30"/>
  <c r="G55" i="30"/>
  <c r="G47" i="30"/>
  <c r="G39" i="32"/>
  <c r="G40" i="32"/>
  <c r="G41" i="32"/>
  <c r="G42" i="32"/>
  <c r="G43" i="32"/>
  <c r="G44" i="32"/>
  <c r="G38" i="32"/>
  <c r="G39" i="30"/>
  <c r="G40" i="30"/>
  <c r="G41" i="30"/>
  <c r="G42" i="30"/>
  <c r="G43" i="30"/>
  <c r="G44" i="30"/>
  <c r="G38" i="30"/>
  <c r="G48" i="28"/>
  <c r="G49" i="28"/>
  <c r="G50" i="28"/>
  <c r="G51" i="28"/>
  <c r="G52" i="28"/>
  <c r="G53" i="28"/>
  <c r="G54" i="28"/>
  <c r="G55" i="28"/>
  <c r="G47" i="28"/>
  <c r="G39" i="28"/>
  <c r="G40" i="28"/>
  <c r="G41" i="28"/>
  <c r="G42" i="28"/>
  <c r="G43" i="28"/>
  <c r="G44" i="28"/>
  <c r="G38" i="28"/>
  <c r="G48" i="26"/>
  <c r="G49" i="26"/>
  <c r="G50" i="26"/>
  <c r="G51" i="26"/>
  <c r="G52" i="26"/>
  <c r="G53" i="26"/>
  <c r="G54" i="26"/>
  <c r="G55" i="26"/>
  <c r="G47" i="26"/>
  <c r="G39" i="26"/>
  <c r="G40" i="26"/>
  <c r="G41" i="26"/>
  <c r="G42" i="26"/>
  <c r="G43" i="26"/>
  <c r="G44" i="26"/>
  <c r="G38" i="26"/>
  <c r="G48" i="24"/>
  <c r="G49" i="24"/>
  <c r="G50" i="24"/>
  <c r="G51" i="24"/>
  <c r="G52" i="24"/>
  <c r="G53" i="24"/>
  <c r="G54" i="24"/>
  <c r="G55" i="24"/>
  <c r="G47" i="24"/>
  <c r="G42" i="24"/>
  <c r="G43" i="24"/>
  <c r="G44" i="24"/>
  <c r="G39" i="24"/>
  <c r="G40" i="24"/>
  <c r="G41" i="24"/>
  <c r="G38" i="24"/>
  <c r="G48" i="20"/>
  <c r="G49" i="20"/>
  <c r="G50" i="20"/>
  <c r="G51" i="20"/>
  <c r="G52" i="20"/>
  <c r="G53" i="20"/>
  <c r="G54" i="20"/>
  <c r="G55" i="20"/>
  <c r="G47" i="20"/>
  <c r="G42" i="20"/>
  <c r="G43" i="20"/>
  <c r="G44" i="20"/>
  <c r="G39" i="20"/>
  <c r="G40" i="20"/>
  <c r="G41" i="20"/>
  <c r="G38" i="20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G87" i="32"/>
  <c r="G88" i="32"/>
  <c r="G89" i="32"/>
  <c r="G90" i="32"/>
  <c r="G91" i="32"/>
  <c r="G92" i="32"/>
  <c r="G93" i="32"/>
  <c r="G94" i="32"/>
  <c r="G95" i="32"/>
  <c r="G96" i="32"/>
  <c r="G97" i="32"/>
  <c r="G98" i="32"/>
  <c r="G99" i="32"/>
  <c r="G100" i="32"/>
  <c r="G101" i="32"/>
  <c r="G102" i="32"/>
  <c r="G103" i="32"/>
  <c r="G104" i="32"/>
  <c r="G105" i="32"/>
  <c r="G106" i="32"/>
  <c r="G107" i="32"/>
  <c r="G108" i="32"/>
  <c r="G109" i="32"/>
  <c r="G110" i="32"/>
  <c r="G111" i="32"/>
  <c r="G112" i="32"/>
  <c r="G62" i="32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0" i="30"/>
  <c r="G91" i="30"/>
  <c r="G92" i="30"/>
  <c r="G93" i="30"/>
  <c r="G94" i="30"/>
  <c r="G95" i="30"/>
  <c r="G96" i="30"/>
  <c r="G97" i="30"/>
  <c r="G98" i="30"/>
  <c r="G99" i="30"/>
  <c r="G100" i="30"/>
  <c r="G101" i="30"/>
  <c r="G102" i="30"/>
  <c r="G103" i="30"/>
  <c r="G104" i="30"/>
  <c r="G105" i="30"/>
  <c r="G106" i="30"/>
  <c r="G107" i="30"/>
  <c r="G108" i="30"/>
  <c r="G109" i="30"/>
  <c r="G110" i="30"/>
  <c r="G111" i="30"/>
  <c r="G112" i="30"/>
  <c r="G62" i="30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62" i="28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62" i="26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62" i="24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62" i="20"/>
  <c r="F135" i="26" l="1"/>
  <c r="F135" i="28"/>
  <c r="F135" i="30"/>
  <c r="F135" i="32"/>
  <c r="O17" i="1"/>
  <c r="P17" i="1" s="1"/>
  <c r="Q17" i="1" s="1"/>
  <c r="R17" i="1" s="1"/>
  <c r="S17" i="1" s="1"/>
  <c r="E118" i="31" l="1"/>
  <c r="E127" i="20"/>
  <c r="F127" i="20" s="1"/>
  <c r="E128" i="20"/>
  <c r="F128" i="20" s="1"/>
  <c r="E129" i="20"/>
  <c r="F129" i="20" s="1"/>
  <c r="E130" i="20"/>
  <c r="F130" i="20" s="1"/>
  <c r="F122" i="31"/>
  <c r="C53" i="29"/>
  <c r="H53" i="29"/>
  <c r="H29" i="29" s="1"/>
  <c r="I53" i="29"/>
  <c r="I29" i="29" s="1"/>
  <c r="C44" i="20"/>
  <c r="E43" i="31"/>
  <c r="E45" i="31"/>
  <c r="E47" i="31"/>
  <c r="E48" i="31"/>
  <c r="F107" i="31"/>
  <c r="F110" i="31"/>
  <c r="F111" i="31"/>
  <c r="F112" i="31"/>
  <c r="F123" i="31"/>
  <c r="F124" i="31"/>
  <c r="F125" i="31"/>
  <c r="F127" i="31"/>
  <c r="F128" i="31"/>
  <c r="F106" i="31"/>
  <c r="D107" i="31"/>
  <c r="E107" i="31"/>
  <c r="D108" i="31"/>
  <c r="D109" i="31"/>
  <c r="D110" i="31"/>
  <c r="E110" i="31"/>
  <c r="D111" i="31"/>
  <c r="E111" i="31"/>
  <c r="D112" i="31"/>
  <c r="E112" i="31"/>
  <c r="D113" i="31"/>
  <c r="D114" i="31"/>
  <c r="D115" i="31"/>
  <c r="D116" i="31"/>
  <c r="D117" i="31"/>
  <c r="D118" i="31"/>
  <c r="D119" i="31"/>
  <c r="E119" i="31"/>
  <c r="D120" i="31"/>
  <c r="E120" i="31"/>
  <c r="D121" i="31"/>
  <c r="E121" i="31"/>
  <c r="D122" i="31"/>
  <c r="E122" i="31"/>
  <c r="D123" i="31"/>
  <c r="E123" i="31"/>
  <c r="D124" i="31"/>
  <c r="E124" i="31"/>
  <c r="D125" i="31"/>
  <c r="E125" i="31"/>
  <c r="D126" i="31"/>
  <c r="D127" i="31"/>
  <c r="E127" i="31"/>
  <c r="D128" i="31"/>
  <c r="E128" i="31"/>
  <c r="E106" i="31"/>
  <c r="D106" i="31"/>
  <c r="F102" i="31"/>
  <c r="F103" i="31"/>
  <c r="F104" i="31"/>
  <c r="F105" i="31"/>
  <c r="E49" i="31"/>
  <c r="D47" i="31"/>
  <c r="D48" i="31"/>
  <c r="D49" i="31"/>
  <c r="D37" i="31"/>
  <c r="E122" i="20"/>
  <c r="F122" i="20" s="1"/>
  <c r="E123" i="20"/>
  <c r="F123" i="20" s="1"/>
  <c r="E124" i="20"/>
  <c r="F124" i="20" s="1"/>
  <c r="E125" i="20"/>
  <c r="F125" i="20" s="1"/>
  <c r="E126" i="20"/>
  <c r="F126" i="20" s="1"/>
  <c r="E113" i="31"/>
  <c r="E117" i="31"/>
  <c r="E116" i="31"/>
  <c r="E36" i="31"/>
  <c r="E10" i="31"/>
  <c r="J23" i="1"/>
  <c r="K23" i="1" s="1"/>
  <c r="L23" i="1" s="1"/>
  <c r="M23" i="1" s="1"/>
  <c r="N23" i="1" s="1"/>
  <c r="O23" i="1" s="1"/>
  <c r="P23" i="1" s="1"/>
  <c r="Q23" i="1" s="1"/>
  <c r="R23" i="1" s="1"/>
  <c r="S23" i="1" s="1"/>
  <c r="F7" i="31"/>
  <c r="G7" i="31" s="1"/>
  <c r="F11" i="31"/>
  <c r="G11" i="31" s="1"/>
  <c r="F12" i="31"/>
  <c r="G12" i="31" s="1"/>
  <c r="F13" i="31"/>
  <c r="G13" i="31" s="1"/>
  <c r="F14" i="31"/>
  <c r="G14" i="31" s="1"/>
  <c r="F15" i="31"/>
  <c r="G15" i="31" s="1"/>
  <c r="F17" i="31"/>
  <c r="G17" i="31" s="1"/>
  <c r="F18" i="31"/>
  <c r="G18" i="31" s="1"/>
  <c r="F25" i="31"/>
  <c r="G25" i="31" s="1"/>
  <c r="F26" i="31"/>
  <c r="G26" i="31" s="1"/>
  <c r="F27" i="31"/>
  <c r="G27" i="31" s="1"/>
  <c r="F28" i="31"/>
  <c r="G28" i="31" s="1"/>
  <c r="F29" i="31"/>
  <c r="G29" i="31" s="1"/>
  <c r="F30" i="31"/>
  <c r="G30" i="31" s="1"/>
  <c r="F32" i="31"/>
  <c r="F38" i="31"/>
  <c r="G38" i="31" s="1"/>
  <c r="F39" i="31"/>
  <c r="G39" i="31" s="1"/>
  <c r="F49" i="31"/>
  <c r="G49" i="31" s="1"/>
  <c r="F50" i="31"/>
  <c r="G50" i="31" s="1"/>
  <c r="J53" i="29"/>
  <c r="J29" i="29" s="1"/>
  <c r="B12" i="32"/>
  <c r="C12" i="32"/>
  <c r="C31" i="32"/>
  <c r="D4" i="31"/>
  <c r="D5" i="31"/>
  <c r="D6" i="31"/>
  <c r="D7" i="31"/>
  <c r="D8" i="31"/>
  <c r="D9" i="31"/>
  <c r="D16" i="31"/>
  <c r="D18" i="31"/>
  <c r="D19" i="31"/>
  <c r="D20" i="31"/>
  <c r="D21" i="31"/>
  <c r="D22" i="31"/>
  <c r="D23" i="31"/>
  <c r="D24" i="31"/>
  <c r="D30" i="31"/>
  <c r="D31" i="31"/>
  <c r="D32" i="31"/>
  <c r="D33" i="31"/>
  <c r="D34" i="31"/>
  <c r="D35" i="31"/>
  <c r="D36" i="31"/>
  <c r="D39" i="31"/>
  <c r="D40" i="31"/>
  <c r="D41" i="31"/>
  <c r="D42" i="31"/>
  <c r="D43" i="31"/>
  <c r="D44" i="31"/>
  <c r="D45" i="31"/>
  <c r="D46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102" i="31"/>
  <c r="E102" i="31"/>
  <c r="G102" i="31" s="1"/>
  <c r="D103" i="31"/>
  <c r="E103" i="31"/>
  <c r="D104" i="31"/>
  <c r="E104" i="31"/>
  <c r="D105" i="31"/>
  <c r="E105" i="31"/>
  <c r="G105" i="31" s="1"/>
  <c r="B12" i="30"/>
  <c r="C12" i="30"/>
  <c r="C31" i="30"/>
  <c r="E115" i="31"/>
  <c r="G53" i="29"/>
  <c r="G29" i="29" s="1"/>
  <c r="F53" i="29"/>
  <c r="F29" i="29" s="1"/>
  <c r="E53" i="29"/>
  <c r="E29" i="29" s="1"/>
  <c r="C31" i="28"/>
  <c r="B12" i="28"/>
  <c r="C12" i="28"/>
  <c r="C31" i="26"/>
  <c r="B12" i="26"/>
  <c r="C12" i="26"/>
  <c r="C31" i="24"/>
  <c r="B12" i="24"/>
  <c r="C12" i="24"/>
  <c r="E109" i="31"/>
  <c r="E108" i="31"/>
  <c r="G110" i="31"/>
  <c r="C18" i="20"/>
  <c r="B18" i="20"/>
  <c r="C44" i="26"/>
  <c r="E51" i="31"/>
  <c r="E52" i="31"/>
  <c r="C28" i="20"/>
  <c r="C15" i="20"/>
  <c r="C13" i="20"/>
  <c r="E53" i="31"/>
  <c r="E54" i="31"/>
  <c r="E55" i="31"/>
  <c r="E56" i="31"/>
  <c r="E46" i="31"/>
  <c r="E58" i="31"/>
  <c r="E32" i="31"/>
  <c r="E57" i="31"/>
  <c r="E60" i="31"/>
  <c r="E37" i="31"/>
  <c r="E62" i="31"/>
  <c r="E61" i="31"/>
  <c r="E63" i="31"/>
  <c r="E64" i="31"/>
  <c r="E65" i="31"/>
  <c r="E66" i="31"/>
  <c r="E67" i="31"/>
  <c r="E68" i="31"/>
  <c r="E69" i="31"/>
  <c r="E70" i="31"/>
  <c r="E71" i="31"/>
  <c r="E72" i="31"/>
  <c r="E73" i="31"/>
  <c r="E33" i="31"/>
  <c r="E74" i="31"/>
  <c r="E35" i="31"/>
  <c r="E114" i="31"/>
  <c r="E21" i="31"/>
  <c r="E75" i="31"/>
  <c r="E76" i="31"/>
  <c r="M8" i="1"/>
  <c r="P8" i="1" s="1"/>
  <c r="K9" i="1"/>
  <c r="N9" i="1" s="1"/>
  <c r="Q9" i="1" s="1"/>
  <c r="K7" i="1"/>
  <c r="N7" i="1" s="1"/>
  <c r="Q7" i="1" s="1"/>
  <c r="M6" i="1"/>
  <c r="P6" i="1" s="1"/>
  <c r="E77" i="31"/>
  <c r="I4" i="1"/>
  <c r="J4" i="1" s="1"/>
  <c r="K4" i="1" s="1"/>
  <c r="L4" i="1" s="1"/>
  <c r="M4" i="1" s="1"/>
  <c r="N4" i="1" s="1"/>
  <c r="O4" i="1" s="1"/>
  <c r="P4" i="1" s="1"/>
  <c r="Q4" i="1" s="1"/>
  <c r="R4" i="1" s="1"/>
  <c r="S4" i="1" s="1"/>
  <c r="E78" i="31"/>
  <c r="E79" i="31"/>
  <c r="E80" i="31"/>
  <c r="E81" i="31"/>
  <c r="E42" i="31"/>
  <c r="E82" i="31"/>
  <c r="E83" i="31"/>
  <c r="E84" i="31"/>
  <c r="C32" i="16"/>
  <c r="D55" i="29" s="1"/>
  <c r="E85" i="31"/>
  <c r="E86" i="31"/>
  <c r="E87" i="31"/>
  <c r="E88" i="31"/>
  <c r="E89" i="31"/>
  <c r="E90" i="31"/>
  <c r="E34" i="31"/>
  <c r="E44" i="31"/>
  <c r="E40" i="31"/>
  <c r="E91" i="31"/>
  <c r="E92" i="31"/>
  <c r="E6" i="31"/>
  <c r="E93" i="31"/>
  <c r="E94" i="31"/>
  <c r="E95" i="31"/>
  <c r="E96" i="31"/>
  <c r="E23" i="31"/>
  <c r="E22" i="31"/>
  <c r="E9" i="31"/>
  <c r="E8" i="31"/>
  <c r="E20" i="31"/>
  <c r="E19" i="31"/>
  <c r="E41" i="31"/>
  <c r="E5" i="31"/>
  <c r="C7" i="4"/>
  <c r="G124" i="31" l="1"/>
  <c r="G104" i="31"/>
  <c r="G125" i="31"/>
  <c r="G111" i="31"/>
  <c r="G106" i="31"/>
  <c r="G107" i="31"/>
  <c r="F41" i="29"/>
  <c r="C23" i="20"/>
  <c r="G32" i="31"/>
  <c r="E31" i="31"/>
  <c r="E51" i="29"/>
  <c r="G103" i="31"/>
  <c r="H128" i="31"/>
  <c r="G127" i="31"/>
  <c r="G128" i="31"/>
  <c r="G122" i="31"/>
  <c r="C31" i="20"/>
  <c r="G112" i="31"/>
  <c r="G123" i="31"/>
  <c r="C44" i="24"/>
  <c r="F10" i="29" s="1"/>
  <c r="G41" i="29" s="1"/>
  <c r="F8" i="31"/>
  <c r="F21" i="31"/>
  <c r="H21" i="31" s="1"/>
  <c r="F31" i="31"/>
  <c r="C44" i="30"/>
  <c r="C44" i="28"/>
  <c r="F20" i="31"/>
  <c r="F6" i="31"/>
  <c r="H6" i="31" s="1"/>
  <c r="F33" i="31"/>
  <c r="F24" i="16"/>
  <c r="C44" i="32"/>
  <c r="K53" i="29"/>
  <c r="C42" i="20" l="1"/>
  <c r="C135" i="20" s="1"/>
  <c r="E12" i="29"/>
  <c r="F51" i="29"/>
  <c r="G10" i="29"/>
  <c r="H41" i="29" s="1"/>
  <c r="G51" i="29"/>
  <c r="J51" i="29"/>
  <c r="F12" i="29"/>
  <c r="I23" i="29"/>
  <c r="F23" i="29"/>
  <c r="J23" i="29"/>
  <c r="F114" i="31"/>
  <c r="G12" i="29" l="1"/>
  <c r="C46" i="16"/>
  <c r="C50" i="29" s="1"/>
  <c r="C51" i="29" s="1"/>
  <c r="I51" i="29"/>
  <c r="I10" i="29"/>
  <c r="I12" i="29" s="1"/>
  <c r="I30" i="29" s="1"/>
  <c r="H10" i="29"/>
  <c r="I41" i="29" s="1"/>
  <c r="H51" i="29"/>
  <c r="J10" i="29"/>
  <c r="J12" i="29" s="1"/>
  <c r="J30" i="29" s="1"/>
  <c r="F30" i="29"/>
  <c r="L23" i="29"/>
  <c r="N23" i="29"/>
  <c r="K23" i="29"/>
  <c r="H23" i="29"/>
  <c r="G23" i="29"/>
  <c r="G24" i="29" s="1"/>
  <c r="G27" i="29" s="1"/>
  <c r="F47" i="31"/>
  <c r="G30" i="29" l="1"/>
  <c r="L12" i="29"/>
  <c r="L30" i="29" s="1"/>
  <c r="M12" i="29"/>
  <c r="K50" i="29"/>
  <c r="K51" i="29"/>
  <c r="N12" i="29"/>
  <c r="N30" i="29" s="1"/>
  <c r="H12" i="29"/>
  <c r="H30" i="29" s="1"/>
  <c r="M23" i="29"/>
  <c r="F39" i="29"/>
  <c r="F9" i="31"/>
  <c r="G9" i="31" s="1"/>
  <c r="F109" i="31"/>
  <c r="G109" i="31" s="1"/>
  <c r="F36" i="31"/>
  <c r="G36" i="31" s="1"/>
  <c r="F43" i="31"/>
  <c r="G43" i="31" s="1"/>
  <c r="F56" i="31"/>
  <c r="G56" i="31" s="1"/>
  <c r="F22" i="31"/>
  <c r="F57" i="31"/>
  <c r="G57" i="31" s="1"/>
  <c r="F95" i="31"/>
  <c r="G95" i="31" s="1"/>
  <c r="F116" i="31"/>
  <c r="G116" i="31" s="1"/>
  <c r="F65" i="31"/>
  <c r="G65" i="31" s="1"/>
  <c r="F59" i="31"/>
  <c r="G59" i="31" s="1"/>
  <c r="F54" i="31"/>
  <c r="G54" i="31" s="1"/>
  <c r="F46" i="31"/>
  <c r="G46" i="31" s="1"/>
  <c r="F41" i="31"/>
  <c r="G41" i="31" s="1"/>
  <c r="F118" i="31"/>
  <c r="G118" i="31" s="1"/>
  <c r="F89" i="31"/>
  <c r="G89" i="31" s="1"/>
  <c r="F53" i="31"/>
  <c r="G53" i="31" s="1"/>
  <c r="F76" i="31"/>
  <c r="G76" i="31" s="1"/>
  <c r="F45" i="31"/>
  <c r="G45" i="31" s="1"/>
  <c r="F64" i="31"/>
  <c r="G64" i="31" s="1"/>
  <c r="F117" i="31"/>
  <c r="G117" i="31" s="1"/>
  <c r="F120" i="31"/>
  <c r="G120" i="31" s="1"/>
  <c r="F115" i="31"/>
  <c r="G115" i="31" s="1"/>
  <c r="F93" i="31"/>
  <c r="G93" i="31" s="1"/>
  <c r="F86" i="31"/>
  <c r="G86" i="31" s="1"/>
  <c r="F85" i="31"/>
  <c r="G85" i="31" s="1"/>
  <c r="F55" i="31"/>
  <c r="G55" i="31" s="1"/>
  <c r="F61" i="31"/>
  <c r="G61" i="31" s="1"/>
  <c r="F92" i="31"/>
  <c r="G92" i="31" s="1"/>
  <c r="F87" i="31"/>
  <c r="G87" i="31" s="1"/>
  <c r="F84" i="31"/>
  <c r="G84" i="31" s="1"/>
  <c r="F81" i="31"/>
  <c r="G81" i="31" s="1"/>
  <c r="F72" i="31"/>
  <c r="G72" i="31" s="1"/>
  <c r="F70" i="31"/>
  <c r="G70" i="31" s="1"/>
  <c r="F60" i="31"/>
  <c r="G60" i="31" s="1"/>
  <c r="F108" i="31"/>
  <c r="G108" i="31" s="1"/>
  <c r="F119" i="31"/>
  <c r="G119" i="31" s="1"/>
  <c r="F51" i="31"/>
  <c r="G51" i="31" s="1"/>
  <c r="F63" i="31"/>
  <c r="G63" i="31" s="1"/>
  <c r="F82" i="31"/>
  <c r="G82" i="31" s="1"/>
  <c r="F75" i="31"/>
  <c r="G75" i="31" s="1"/>
  <c r="F42" i="31"/>
  <c r="G42" i="31" s="1"/>
  <c r="F96" i="31"/>
  <c r="G96" i="31" s="1"/>
  <c r="F94" i="31"/>
  <c r="G94" i="31" s="1"/>
  <c r="F90" i="31"/>
  <c r="G90" i="31" s="1"/>
  <c r="F58" i="31"/>
  <c r="G58" i="31" s="1"/>
  <c r="F10" i="31"/>
  <c r="G10" i="31" s="1"/>
  <c r="F113" i="31"/>
  <c r="G113" i="31" s="1"/>
  <c r="F40" i="31"/>
  <c r="G40" i="31" s="1"/>
  <c r="F91" i="31"/>
  <c r="G91" i="31" s="1"/>
  <c r="F78" i="31"/>
  <c r="G78" i="31" s="1"/>
  <c r="F73" i="31"/>
  <c r="G73" i="31" s="1"/>
  <c r="F71" i="31"/>
  <c r="G71" i="31" s="1"/>
  <c r="F68" i="31"/>
  <c r="G68" i="31" s="1"/>
  <c r="F66" i="31"/>
  <c r="G66" i="31" s="1"/>
  <c r="F62" i="31"/>
  <c r="G62" i="31" s="1"/>
  <c r="F19" i="31"/>
  <c r="G19" i="31" s="1"/>
  <c r="F23" i="31"/>
  <c r="F52" i="31"/>
  <c r="G52" i="31" s="1"/>
  <c r="F121" i="31"/>
  <c r="G121" i="31" s="1"/>
  <c r="F88" i="31"/>
  <c r="G88" i="31" s="1"/>
  <c r="F83" i="31"/>
  <c r="G83" i="31" s="1"/>
  <c r="F80" i="31"/>
  <c r="G80" i="31" s="1"/>
  <c r="F79" i="31"/>
  <c r="G79" i="31" s="1"/>
  <c r="F77" i="31"/>
  <c r="G77" i="31" s="1"/>
  <c r="F74" i="31"/>
  <c r="G74" i="31" s="1"/>
  <c r="F69" i="31"/>
  <c r="G69" i="31" s="1"/>
  <c r="F67" i="31"/>
  <c r="G67" i="31" s="1"/>
  <c r="F34" i="31"/>
  <c r="G34" i="31" s="1"/>
  <c r="F37" i="31"/>
  <c r="F44" i="31"/>
  <c r="G44" i="31" s="1"/>
  <c r="F35" i="31"/>
  <c r="G35" i="31" s="1"/>
  <c r="F48" i="31"/>
  <c r="G48" i="31" s="1"/>
  <c r="G20" i="31"/>
  <c r="G31" i="31"/>
  <c r="F23" i="20"/>
  <c r="F31" i="20"/>
  <c r="G33" i="31"/>
  <c r="G8" i="31"/>
  <c r="G6" i="31"/>
  <c r="G114" i="31"/>
  <c r="F5" i="31"/>
  <c r="G5" i="31" s="1"/>
  <c r="G47" i="31"/>
  <c r="F32" i="16"/>
  <c r="C34" i="16" s="1"/>
  <c r="D97" i="31"/>
  <c r="G21" i="31"/>
  <c r="E27" i="29" l="1"/>
  <c r="E30" i="29" s="1"/>
  <c r="E33" i="29" s="1"/>
  <c r="E58" i="29" s="1"/>
  <c r="M30" i="29"/>
  <c r="F42" i="29"/>
  <c r="G39" i="29" s="1"/>
  <c r="G42" i="29" s="1"/>
  <c r="H39" i="29" s="1"/>
  <c r="H42" i="29" s="1"/>
  <c r="I39" i="29" s="1"/>
  <c r="I42" i="29" s="1"/>
  <c r="K12" i="29"/>
  <c r="K30" i="29" s="1"/>
  <c r="G23" i="31"/>
  <c r="H23" i="31"/>
  <c r="G22" i="31"/>
  <c r="H22" i="31"/>
  <c r="G37" i="31"/>
  <c r="H37" i="31"/>
  <c r="G16" i="31"/>
  <c r="C33" i="20"/>
  <c r="E97" i="31"/>
  <c r="D98" i="31"/>
  <c r="E98" i="31"/>
  <c r="G24" i="31" l="1"/>
  <c r="D99" i="31"/>
  <c r="E99" i="31"/>
  <c r="D100" i="31" l="1"/>
  <c r="E100" i="31"/>
  <c r="F33" i="29" l="1"/>
  <c r="F58" i="29" s="1"/>
  <c r="F97" i="31"/>
  <c r="G97" i="31" s="1"/>
  <c r="F139" i="16"/>
  <c r="D101" i="31"/>
  <c r="G33" i="29" l="1"/>
  <c r="G58" i="29" s="1"/>
  <c r="F98" i="31"/>
  <c r="G98" i="31" s="1"/>
  <c r="F135" i="20"/>
  <c r="E101" i="31"/>
  <c r="H33" i="29" l="1"/>
  <c r="H58" i="29" s="1"/>
  <c r="C139" i="20"/>
  <c r="E126" i="31"/>
  <c r="C143" i="16"/>
  <c r="C55" i="29" s="1"/>
  <c r="F99" i="31"/>
  <c r="G99" i="31" s="1"/>
  <c r="I33" i="29" l="1"/>
  <c r="F100" i="31"/>
  <c r="G100" i="31" s="1"/>
  <c r="F135" i="24"/>
  <c r="E55" i="29"/>
  <c r="E57" i="29" s="1"/>
  <c r="E59" i="29" s="1"/>
  <c r="C13" i="24"/>
  <c r="C23" i="24" s="1"/>
  <c r="C42" i="24" l="1"/>
  <c r="C135" i="24" s="1"/>
  <c r="C139" i="24" s="1"/>
  <c r="J33" i="29"/>
  <c r="I58" i="29"/>
  <c r="C33" i="24"/>
  <c r="F101" i="31"/>
  <c r="G101" i="31" s="1"/>
  <c r="J58" i="29" l="1"/>
  <c r="K33" i="29"/>
  <c r="L33" i="29" s="1"/>
  <c r="M33" i="29" s="1"/>
  <c r="N33" i="29" s="1"/>
  <c r="F126" i="31"/>
  <c r="G126" i="31" s="1"/>
  <c r="F55" i="29"/>
  <c r="C13" i="26"/>
  <c r="C23" i="26" s="1"/>
  <c r="C42" i="26" s="1"/>
  <c r="F57" i="29" l="1"/>
  <c r="F59" i="29" s="1"/>
  <c r="H126" i="31"/>
  <c r="C33" i="26"/>
  <c r="C135" i="26"/>
  <c r="C139" i="26" l="1"/>
  <c r="C13" i="28" l="1"/>
  <c r="C23" i="28" s="1"/>
  <c r="C42" i="28" s="1"/>
  <c r="G55" i="29"/>
  <c r="C135" i="28" l="1"/>
  <c r="C139" i="28" s="1"/>
  <c r="C33" i="28"/>
  <c r="G57" i="29"/>
  <c r="G59" i="29" s="1"/>
  <c r="C13" i="30" l="1"/>
  <c r="C23" i="30" s="1"/>
  <c r="C42" i="30" s="1"/>
  <c r="H55" i="29"/>
  <c r="H57" i="29" s="1"/>
  <c r="H59" i="29" s="1"/>
  <c r="C135" i="30" l="1"/>
  <c r="C139" i="30" s="1"/>
  <c r="C33" i="30"/>
  <c r="I55" i="29" l="1"/>
  <c r="I57" i="29" s="1"/>
  <c r="I59" i="29" s="1"/>
  <c r="C13" i="32"/>
  <c r="C23" i="32" s="1"/>
  <c r="C33" i="32" l="1"/>
  <c r="C42" i="32"/>
  <c r="C135" i="32" s="1"/>
  <c r="C139" i="32" l="1"/>
  <c r="J55" i="29" s="1"/>
  <c r="K55" i="29" l="1"/>
  <c r="J57" i="29"/>
  <c r="J59" i="29" s="1"/>
</calcChain>
</file>

<file path=xl/connections.xml><?xml version="1.0" encoding="utf-8"?>
<connections xmlns="http://schemas.openxmlformats.org/spreadsheetml/2006/main">
  <connection id="1" keepAlive="1" name="Query - FlatDataset" description="Connection to the 'FlatDataset' query in the workbook." type="5" refreshedVersion="6" background="1" saveData="1">
    <dbPr connection="Provider=Microsoft.Mashup.OleDb.1;Data Source=$Workbook$;Location=FlatDataset;Extended Properties=&quot;&quot;" command="SELECT * FROM [FlatDataset]"/>
  </connection>
</connections>
</file>

<file path=xl/sharedStrings.xml><?xml version="1.0" encoding="utf-8"?>
<sst xmlns="http://schemas.openxmlformats.org/spreadsheetml/2006/main" count="2113" uniqueCount="163">
  <si>
    <t>USD</t>
  </si>
  <si>
    <t>מעמ</t>
  </si>
  <si>
    <t>עלות מכר</t>
  </si>
  <si>
    <t>דולר</t>
  </si>
  <si>
    <t>אירו</t>
  </si>
  <si>
    <t>דיסקונט</t>
  </si>
  <si>
    <t>החזר הלוואות שוטף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</si>
  <si>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</si>
  <si>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</si>
  <si>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</si>
  <si>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</si>
  <si>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</si>
  <si>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</si>
  <si>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</si>
  <si>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</si>
  <si>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</si>
  <si>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</si>
  <si>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</si>
  <si>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</si>
  <si>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שימושים</t>
  </si>
  <si>
    <t>יחס משתמע</t>
  </si>
  <si>
    <t>חובות לספקים</t>
  </si>
  <si>
    <t>ביטוח לאומי</t>
  </si>
  <si>
    <t>גמיש</t>
  </si>
  <si>
    <t>תאריך התחלה</t>
  </si>
  <si>
    <t>תאריך סוף</t>
  </si>
  <si>
    <t>שקל</t>
  </si>
  <si>
    <t>ILS</t>
  </si>
  <si>
    <t>EUR</t>
  </si>
  <si>
    <t>משכורות - אירופה</t>
  </si>
  <si>
    <t>סה"כ שימושים</t>
  </si>
  <si>
    <t>מס הכנסה - ניכוי במקור משכורות</t>
  </si>
  <si>
    <t>מזרחי</t>
  </si>
  <si>
    <t>הלוואה - מזרחי</t>
  </si>
  <si>
    <t>צ'ק - דיסקונט</t>
  </si>
  <si>
    <t>מקורות</t>
  </si>
  <si>
    <t>מסגרת</t>
  </si>
  <si>
    <t>משכורות, מעמ, מס הכנסה, ביטוח לאומי</t>
  </si>
  <si>
    <t>יתרה בעו"ש</t>
  </si>
  <si>
    <t>יתרה לניצול</t>
  </si>
  <si>
    <t>הוצאות תפעוליות (בארץ)</t>
  </si>
  <si>
    <t>יתרה לניצול - אחרי צ'קים</t>
  </si>
  <si>
    <t>סה"כ מקורות</t>
  </si>
  <si>
    <t>מצב כולל</t>
  </si>
  <si>
    <t>Name</t>
  </si>
  <si>
    <t>Type 1</t>
  </si>
  <si>
    <t>Day of Month</t>
  </si>
  <si>
    <t>Currency</t>
  </si>
  <si>
    <t>Payment method</t>
  </si>
  <si>
    <t>Type 2</t>
  </si>
  <si>
    <t>Date</t>
  </si>
  <si>
    <t>צ'ק - מזרחי</t>
  </si>
  <si>
    <t>הלוואות - דיסקונט</t>
  </si>
  <si>
    <t>הלוואות - מזרחי</t>
  </si>
  <si>
    <t>הוראות קבע - מזרחי</t>
  </si>
  <si>
    <t>דיסקונט - אשראי</t>
  </si>
  <si>
    <t>קופות פנסיה</t>
  </si>
  <si>
    <t>הלוואה - דיסקונט</t>
  </si>
  <si>
    <t>מזרחי - אשראי</t>
  </si>
  <si>
    <t>הוצאות תפעוליות (חו"ל)</t>
  </si>
  <si>
    <t>Amount (ILS)</t>
  </si>
  <si>
    <t>סה"כ מקורות לפני גבייה</t>
  </si>
  <si>
    <t>הוצאות תפעוליות</t>
  </si>
  <si>
    <t>וודאיות - דיסקונט</t>
  </si>
  <si>
    <t>וודאיות - מזרחי</t>
  </si>
  <si>
    <t>סה"כ</t>
  </si>
  <si>
    <t>מצב בארץ לאחר וודאיות</t>
  </si>
  <si>
    <t>שיווק ומכירות</t>
  </si>
  <si>
    <t>משכורות</t>
  </si>
  <si>
    <t>הנהלה וכלליות</t>
  </si>
  <si>
    <t>שכ"ד, ארנונה, ניהול</t>
  </si>
  <si>
    <t>ליסינג ורכבים</t>
  </si>
  <si>
    <t>תקשורת</t>
  </si>
  <si>
    <t>שקים שעדיין לא נפרעו</t>
  </si>
  <si>
    <t>ריבית עו"ש - דיסקונט</t>
  </si>
  <si>
    <t>ריבית עו"ש - מזרחי</t>
  </si>
  <si>
    <t>עמלת הקצאת אשראי - דיסקונט</t>
  </si>
  <si>
    <t>עמלת הקצאת אשראי - מזרחי</t>
  </si>
  <si>
    <t>הפקדות צפויות בישראל</t>
  </si>
  <si>
    <t>ספקים - שוטף</t>
  </si>
  <si>
    <t>הזרמה 1</t>
  </si>
  <si>
    <t>הזרמה 2</t>
  </si>
  <si>
    <t>הזרמה 3</t>
  </si>
  <si>
    <t>הזרמה 4</t>
  </si>
  <si>
    <t>יתרה תקופה קודמת</t>
  </si>
  <si>
    <t>הזרמה 5</t>
  </si>
  <si>
    <t>סיכום</t>
  </si>
  <si>
    <t>הזרמה 6</t>
  </si>
  <si>
    <t>הוצאות (תזרימית)</t>
  </si>
  <si>
    <t>הפקדות</t>
  </si>
  <si>
    <t>הזרמות (₪)</t>
  </si>
  <si>
    <t>מצב כולל (₪)</t>
  </si>
  <si>
    <t>הזרמה</t>
  </si>
  <si>
    <t>י.פ לקוחות</t>
  </si>
  <si>
    <t>י.ס לקוחות</t>
  </si>
  <si>
    <t>מעמ אירופה</t>
  </si>
  <si>
    <t>מעמ ישראל</t>
  </si>
  <si>
    <t>סה"כ הוצאות</t>
  </si>
  <si>
    <t>תזרים שוטף לפני החזר חובות</t>
  </si>
  <si>
    <t>תזרים לאחר החזר חובות</t>
  </si>
  <si>
    <t>יתרת פתיחה מקורות נטו</t>
  </si>
  <si>
    <t>מצב לאחר תזרים שוטף</t>
  </si>
  <si>
    <t>ת. פרעון</t>
  </si>
  <si>
    <t>סכום</t>
  </si>
  <si>
    <t>הפקדות צפויות מהקופה</t>
  </si>
  <si>
    <t>תשלומי לקוחות</t>
  </si>
  <si>
    <t>סה"כ הפקדות (נטו)</t>
  </si>
  <si>
    <t>תזרים לאחר הזרמה</t>
  </si>
  <si>
    <t>רו"ה תזרימי</t>
  </si>
  <si>
    <t>הכנסות (כולל מע"מ)</t>
  </si>
  <si>
    <t>חוב לספק א</t>
  </si>
  <si>
    <t>חוב לספק ב</t>
  </si>
  <si>
    <t>חוב לספק ג</t>
  </si>
  <si>
    <t>חוב לספק ד</t>
  </si>
  <si>
    <t>ספק א</t>
  </si>
  <si>
    <t>ספק ב</t>
  </si>
  <si>
    <t>ספק ג</t>
  </si>
  <si>
    <t>ספק ד</t>
  </si>
  <si>
    <t>ספק ה</t>
  </si>
  <si>
    <t>ספק ו</t>
  </si>
  <si>
    <t>ספק ז</t>
  </si>
  <si>
    <t>ספק ח</t>
  </si>
  <si>
    <t>ספק ט</t>
  </si>
  <si>
    <t>ספק י</t>
  </si>
  <si>
    <t>ספק יא</t>
  </si>
  <si>
    <t>ספק יב</t>
  </si>
  <si>
    <t>סיכום - טבלת תזרים מזומנים</t>
  </si>
  <si>
    <t>הפקדות ותשלום מעמ</t>
  </si>
  <si>
    <t>ספק 1</t>
  </si>
  <si>
    <t>ספק 3</t>
  </si>
  <si>
    <t>ספק 2</t>
  </si>
  <si>
    <t>ספק 4</t>
  </si>
  <si>
    <t>ספק 5</t>
  </si>
  <si>
    <t>ספק 6</t>
  </si>
  <si>
    <t>ספק 7</t>
  </si>
  <si>
    <t>ספק 8</t>
  </si>
  <si>
    <t>ספק 9</t>
  </si>
  <si>
    <t>ספק 10</t>
  </si>
  <si>
    <t>ספק 11</t>
  </si>
  <si>
    <t>ספק 12</t>
  </si>
  <si>
    <t>ספק 13</t>
  </si>
  <si>
    <t>ספק 14</t>
  </si>
  <si>
    <t>הפקדות צפויות (₪)</t>
  </si>
  <si>
    <t>הפקדות צפויות ($)</t>
  </si>
  <si>
    <t>הפרש</t>
  </si>
  <si>
    <t>ספקים - שוטף - לא בשקים, הוראות קבע או אשראי</t>
  </si>
  <si>
    <t>בדיקת עקביות - מעגל לקוחות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</si>
  <si>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</si>
  <si>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</si>
  <si>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</si>
  <si>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</si>
  <si>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</si>
  <si>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</si>
  <si>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</si>
  <si>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</si>
  <si>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</si>
  <si>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</si>
  <si>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</si>
  <si>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</si>
  <si>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מטבע</t>
  </si>
  <si>
    <t>שער</t>
  </si>
  <si>
    <t>Amount (USD)</t>
  </si>
  <si>
    <t>Amount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</si>
</sst>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00"/>
    <numFmt numFmtId="168" formatCode="[$-409]mmm/yy;@"/>
    <numFmt numFmtId="169" formatCode="_(&quot;$&quot;* #,##0_);_(&quot;$&quot;* \(#,##0\);_(&quot;$&quot;* &quot;-&quot;??_);_(@_)"/>
    <numFmt numFmtId="170" formatCode="_(* #,##0_);_(* \(#,##0\);_(* &quot;-&quot;??_);_(@_)"/>
    <numFmt numFmtId="171" formatCode="_([$€-2]\ * #,##0_);_([$€-2]\ * \(#,##0\);_([$€-2]\ * &quot;-&quot;??_);_(@_)"/>
  </numFmts>
  <fonts count="23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u/>
      <sz val="14"/>
      <color theme="1"/>
      <name val="Calibri"/>
      <family val="2"/>
    </font>
    <font>
      <u/>
      <sz val="11"/>
      <color theme="1"/>
      <name val="Calibri"/>
      <family val="2"/>
    </font>
    <font>
      <i/>
      <sz val="9"/>
      <color theme="0" tint="-0.499984740745262"/>
      <name val="Calibri"/>
      <family val="2"/>
    </font>
    <font>
      <i/>
      <sz val="11"/>
      <color theme="1"/>
      <name val="Calibri"/>
      <family val="2"/>
    </font>
    <font>
      <sz val="9"/>
      <color theme="1"/>
      <name val="Calibri"/>
      <family val="2"/>
    </font>
    <font>
      <b/>
      <u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medium">
        <color theme="6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0" fontId="11" fillId="0" borderId="0"/>
    <xf numFmtId="9" fontId="9" fillId="0" borderId="0" applyFont="0" applyFill="0" applyBorder="0" applyAlignment="0" applyProtection="0"/>
    <xf numFmtId="0" fontId="10" fillId="0" borderId="0"/>
    <xf numFmtId="0" fontId="8" fillId="0" borderId="0"/>
    <xf numFmtId="44" fontId="9" fillId="0" borderId="0" applyFont="0" applyFill="0" applyBorder="0" applyAlignment="0" applyProtection="0"/>
    <xf numFmtId="0" fontId="7" fillId="0" borderId="0"/>
  </cellStyleXfs>
  <cellXfs count="176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164" fontId="0" fillId="0" borderId="0" xfId="1" applyFont="1"/>
    <xf numFmtId="0" fontId="14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10" xfId="0" applyFont="1" applyFill="1" applyBorder="1" applyAlignment="1">
      <alignment horizontal="center"/>
    </xf>
    <xf numFmtId="165" fontId="12" fillId="0" borderId="10" xfId="1" applyNumberFormat="1" applyFont="1" applyFill="1" applyBorder="1"/>
    <xf numFmtId="165" fontId="14" fillId="0" borderId="10" xfId="1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right" vertical="center" readingOrder="1"/>
    </xf>
    <xf numFmtId="0" fontId="12" fillId="0" borderId="10" xfId="0" applyFont="1" applyFill="1" applyBorder="1"/>
    <xf numFmtId="0" fontId="14" fillId="0" borderId="10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17" fillId="0" borderId="0" xfId="0" applyFont="1"/>
    <xf numFmtId="169" fontId="6" fillId="0" borderId="0" xfId="6" applyNumberFormat="1" applyFont="1"/>
    <xf numFmtId="169" fontId="12" fillId="0" borderId="0" xfId="6" applyNumberFormat="1" applyFont="1"/>
    <xf numFmtId="44" fontId="6" fillId="0" borderId="0" xfId="0" applyNumberFormat="1" applyFont="1"/>
    <xf numFmtId="9" fontId="6" fillId="0" borderId="0" xfId="3" applyFont="1"/>
    <xf numFmtId="0" fontId="12" fillId="0" borderId="14" xfId="0" applyFont="1" applyBorder="1"/>
    <xf numFmtId="9" fontId="12" fillId="0" borderId="14" xfId="3" applyFont="1" applyBorder="1"/>
    <xf numFmtId="14" fontId="6" fillId="0" borderId="0" xfId="3" applyNumberFormat="1" applyFont="1"/>
    <xf numFmtId="14" fontId="6" fillId="0" borderId="0" xfId="0" applyNumberFormat="1" applyFont="1"/>
    <xf numFmtId="0" fontId="18" fillId="0" borderId="0" xfId="0" applyFont="1"/>
    <xf numFmtId="0" fontId="12" fillId="0" borderId="0" xfId="0" applyFont="1"/>
    <xf numFmtId="0" fontId="12" fillId="0" borderId="15" xfId="0" applyFont="1" applyBorder="1"/>
    <xf numFmtId="169" fontId="12" fillId="0" borderId="15" xfId="6" applyNumberFormat="1" applyFont="1" applyBorder="1"/>
    <xf numFmtId="165" fontId="6" fillId="0" borderId="0" xfId="1" applyNumberFormat="1" applyFont="1"/>
    <xf numFmtId="169" fontId="6" fillId="0" borderId="0" xfId="6" applyNumberFormat="1" applyFont="1" applyBorder="1"/>
    <xf numFmtId="165" fontId="6" fillId="0" borderId="12" xfId="1" applyNumberFormat="1" applyFont="1" applyBorder="1"/>
    <xf numFmtId="169" fontId="6" fillId="0" borderId="12" xfId="6" applyNumberFormat="1" applyFont="1" applyBorder="1"/>
    <xf numFmtId="165" fontId="12" fillId="0" borderId="0" xfId="1" applyNumberFormat="1" applyFont="1"/>
    <xf numFmtId="0" fontId="12" fillId="0" borderId="16" xfId="0" applyFont="1" applyBorder="1" applyAlignment="1">
      <alignment wrapText="1"/>
    </xf>
    <xf numFmtId="169" fontId="12" fillId="0" borderId="16" xfId="6" applyNumberFormat="1" applyFont="1" applyBorder="1"/>
    <xf numFmtId="165" fontId="16" fillId="0" borderId="0" xfId="1" applyNumberFormat="1" applyFont="1"/>
    <xf numFmtId="165" fontId="6" fillId="0" borderId="11" xfId="1" applyNumberFormat="1" applyFont="1" applyBorder="1"/>
    <xf numFmtId="169" fontId="6" fillId="0" borderId="11" xfId="6" applyNumberFormat="1" applyFont="1" applyBorder="1"/>
    <xf numFmtId="165" fontId="6" fillId="0" borderId="0" xfId="1" applyNumberFormat="1" applyFont="1" applyBorder="1"/>
    <xf numFmtId="0" fontId="12" fillId="0" borderId="16" xfId="0" applyFont="1" applyBorder="1"/>
    <xf numFmtId="0" fontId="12" fillId="0" borderId="0" xfId="0" applyFont="1" applyBorder="1"/>
    <xf numFmtId="169" fontId="12" fillId="0" borderId="0" xfId="6" applyNumberFormat="1" applyFont="1" applyBorder="1"/>
    <xf numFmtId="0" fontId="6" fillId="0" borderId="0" xfId="0" applyFont="1" applyBorder="1" applyAlignment="1">
      <alignment wrapText="1"/>
    </xf>
    <xf numFmtId="4" fontId="6" fillId="0" borderId="0" xfId="0" applyNumberFormat="1" applyFont="1"/>
    <xf numFmtId="0" fontId="6" fillId="0" borderId="12" xfId="0" applyFont="1" applyBorder="1"/>
    <xf numFmtId="0" fontId="12" fillId="0" borderId="12" xfId="0" applyFont="1" applyBorder="1"/>
    <xf numFmtId="169" fontId="6" fillId="0" borderId="0" xfId="0" applyNumberFormat="1" applyFont="1"/>
    <xf numFmtId="0" fontId="6" fillId="0" borderId="0" xfId="0" applyFont="1" applyAlignment="1">
      <alignment wrapText="1"/>
    </xf>
    <xf numFmtId="0" fontId="12" fillId="0" borderId="9" xfId="0" applyFont="1" applyBorder="1"/>
    <xf numFmtId="169" fontId="12" fillId="0" borderId="9" xfId="0" applyNumberFormat="1" applyFont="1" applyBorder="1"/>
    <xf numFmtId="0" fontId="19" fillId="0" borderId="0" xfId="0" applyFont="1"/>
    <xf numFmtId="171" fontId="6" fillId="0" borderId="0" xfId="0" applyNumberFormat="1" applyFont="1"/>
    <xf numFmtId="169" fontId="12" fillId="0" borderId="0" xfId="0" applyNumberFormat="1" applyFont="1" applyBorder="1"/>
    <xf numFmtId="0" fontId="6" fillId="0" borderId="1" xfId="0" applyFont="1" applyBorder="1"/>
    <xf numFmtId="14" fontId="6" fillId="0" borderId="2" xfId="0" applyNumberFormat="1" applyFont="1" applyFill="1" applyBorder="1"/>
    <xf numFmtId="14" fontId="6" fillId="0" borderId="7" xfId="0" applyNumberFormat="1" applyFont="1" applyFill="1" applyBorder="1"/>
    <xf numFmtId="0" fontId="12" fillId="0" borderId="3" xfId="0" applyFont="1" applyBorder="1"/>
    <xf numFmtId="14" fontId="12" fillId="0" borderId="0" xfId="0" applyNumberFormat="1" applyFont="1" applyFill="1" applyBorder="1"/>
    <xf numFmtId="0" fontId="6" fillId="0" borderId="3" xfId="0" applyFont="1" applyBorder="1"/>
    <xf numFmtId="0" fontId="6" fillId="0" borderId="4" xfId="0" applyFont="1" applyBorder="1"/>
    <xf numFmtId="165" fontId="6" fillId="0" borderId="4" xfId="1" applyNumberFormat="1" applyFont="1" applyFill="1" applyBorder="1" applyAlignment="1"/>
    <xf numFmtId="165" fontId="6" fillId="0" borderId="0" xfId="1" applyNumberFormat="1" applyFont="1" applyFill="1" applyBorder="1" applyAlignment="1"/>
    <xf numFmtId="165" fontId="19" fillId="0" borderId="0" xfId="0" applyNumberFormat="1" applyFont="1"/>
    <xf numFmtId="0" fontId="21" fillId="0" borderId="0" xfId="0" applyFont="1"/>
    <xf numFmtId="169" fontId="6" fillId="0" borderId="4" xfId="6" applyNumberFormat="1" applyFont="1" applyFill="1" applyBorder="1" applyAlignment="1"/>
    <xf numFmtId="169" fontId="6" fillId="0" borderId="0" xfId="6" applyNumberFormat="1" applyFont="1" applyFill="1" applyBorder="1" applyAlignment="1"/>
    <xf numFmtId="169" fontId="6" fillId="0" borderId="4" xfId="6" applyNumberFormat="1" applyFont="1" applyBorder="1"/>
    <xf numFmtId="170" fontId="6" fillId="0" borderId="0" xfId="0" applyNumberFormat="1" applyFont="1"/>
    <xf numFmtId="0" fontId="12" fillId="0" borderId="5" xfId="0" applyFont="1" applyBorder="1"/>
    <xf numFmtId="41" fontId="12" fillId="0" borderId="6" xfId="1" applyNumberFormat="1" applyFont="1" applyBorder="1" applyAlignment="1"/>
    <xf numFmtId="41" fontId="12" fillId="0" borderId="8" xfId="1" applyNumberFormat="1" applyFont="1" applyBorder="1" applyAlignment="1"/>
    <xf numFmtId="41" fontId="6" fillId="0" borderId="0" xfId="0" applyNumberFormat="1" applyFont="1" applyBorder="1"/>
    <xf numFmtId="165" fontId="6" fillId="0" borderId="0" xfId="0" applyNumberFormat="1" applyFont="1"/>
    <xf numFmtId="169" fontId="6" fillId="0" borderId="0" xfId="0" applyNumberFormat="1" applyFont="1" applyBorder="1"/>
    <xf numFmtId="167" fontId="6" fillId="0" borderId="0" xfId="0" applyNumberFormat="1" applyFont="1"/>
    <xf numFmtId="0" fontId="6" fillId="0" borderId="0" xfId="0" applyFont="1" applyFill="1" applyBorder="1"/>
    <xf numFmtId="0" fontId="22" fillId="0" borderId="0" xfId="0" applyFont="1"/>
    <xf numFmtId="0" fontId="6" fillId="0" borderId="0" xfId="7" applyFo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2" fontId="6" fillId="0" borderId="0" xfId="0" applyNumberFormat="1" applyFont="1" applyFill="1" applyBorder="1"/>
    <xf numFmtId="0" fontId="6" fillId="0" borderId="10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/>
    </xf>
    <xf numFmtId="165" fontId="6" fillId="0" borderId="10" xfId="1" applyNumberFormat="1" applyFont="1" applyFill="1" applyBorder="1"/>
    <xf numFmtId="165" fontId="6" fillId="0" borderId="10" xfId="0" applyNumberFormat="1" applyFont="1" applyFill="1" applyBorder="1"/>
    <xf numFmtId="0" fontId="6" fillId="0" borderId="0" xfId="0" applyFont="1" applyAlignment="1">
      <alignment horizontal="center"/>
    </xf>
    <xf numFmtId="165" fontId="6" fillId="0" borderId="0" xfId="1" applyNumberFormat="1" applyFont="1" applyAlignment="1">
      <alignment horizontal="right"/>
    </xf>
    <xf numFmtId="14" fontId="20" fillId="4" borderId="0" xfId="0" applyNumberFormat="1" applyFont="1" applyFill="1"/>
    <xf numFmtId="165" fontId="6" fillId="0" borderId="0" xfId="1" applyNumberFormat="1" applyFont="1" applyFill="1" applyAlignment="1">
      <alignment horizontal="right"/>
    </xf>
    <xf numFmtId="14" fontId="6" fillId="0" borderId="0" xfId="0" applyNumberFormat="1" applyFont="1" applyAlignment="1">
      <alignment horizontal="right"/>
    </xf>
    <xf numFmtId="165" fontId="6" fillId="0" borderId="0" xfId="1" applyNumberFormat="1" applyFont="1" applyAlignment="1"/>
    <xf numFmtId="0" fontId="12" fillId="5" borderId="0" xfId="0" applyFont="1" applyFill="1"/>
    <xf numFmtId="165" fontId="12" fillId="5" borderId="0" xfId="1" applyNumberFormat="1" applyFont="1" applyFill="1" applyAlignment="1"/>
    <xf numFmtId="0" fontId="12" fillId="3" borderId="0" xfId="0" applyFont="1" applyFill="1"/>
    <xf numFmtId="165" fontId="12" fillId="3" borderId="0" xfId="1" applyNumberFormat="1" applyFont="1" applyFill="1" applyAlignment="1"/>
    <xf numFmtId="0" fontId="12" fillId="0" borderId="0" xfId="0" applyFont="1" applyAlignment="1">
      <alignment horizontal="center"/>
    </xf>
    <xf numFmtId="0" fontId="6" fillId="0" borderId="0" xfId="0" applyFont="1" applyFill="1"/>
    <xf numFmtId="165" fontId="6" fillId="0" borderId="0" xfId="1" applyNumberFormat="1" applyFont="1" applyFill="1" applyAlignment="1"/>
    <xf numFmtId="0" fontId="6" fillId="0" borderId="0" xfId="0" applyFont="1" applyFill="1" applyAlignment="1">
      <alignment horizontal="center"/>
    </xf>
    <xf numFmtId="165" fontId="6" fillId="0" borderId="12" xfId="1" applyNumberFormat="1" applyFont="1" applyBorder="1" applyAlignment="1"/>
    <xf numFmtId="0" fontId="12" fillId="0" borderId="12" xfId="0" applyFont="1" applyFill="1" applyBorder="1"/>
    <xf numFmtId="165" fontId="6" fillId="0" borderId="12" xfId="1" applyNumberFormat="1" applyFont="1" applyFill="1" applyBorder="1" applyAlignment="1"/>
    <xf numFmtId="165" fontId="6" fillId="0" borderId="0" xfId="1" applyNumberFormat="1" applyFont="1" applyBorder="1" applyAlignment="1"/>
    <xf numFmtId="165" fontId="6" fillId="4" borderId="0" xfId="1" applyNumberFormat="1" applyFont="1" applyFill="1" applyAlignment="1"/>
    <xf numFmtId="0" fontId="14" fillId="0" borderId="0" xfId="0" applyFont="1" applyFill="1" applyBorder="1" applyAlignment="1">
      <alignment horizontal="right"/>
    </xf>
    <xf numFmtId="165" fontId="6" fillId="0" borderId="0" xfId="1" applyNumberFormat="1" applyFont="1" applyFill="1"/>
    <xf numFmtId="0" fontId="12" fillId="6" borderId="9" xfId="0" applyFont="1" applyFill="1" applyBorder="1"/>
    <xf numFmtId="165" fontId="12" fillId="6" borderId="9" xfId="1" applyNumberFormat="1" applyFont="1" applyFill="1" applyBorder="1" applyAlignment="1"/>
    <xf numFmtId="165" fontId="6" fillId="4" borderId="0" xfId="1" applyNumberFormat="1" applyFont="1" applyFill="1" applyBorder="1" applyAlignment="1"/>
    <xf numFmtId="0" fontId="12" fillId="0" borderId="13" xfId="0" applyFont="1" applyBorder="1"/>
    <xf numFmtId="165" fontId="12" fillId="0" borderId="13" xfId="1" applyNumberFormat="1" applyFont="1" applyBorder="1" applyAlignment="1"/>
    <xf numFmtId="0" fontId="22" fillId="0" borderId="0" xfId="0" applyFont="1" applyAlignment="1">
      <alignment horizontal="right"/>
    </xf>
    <xf numFmtId="165" fontId="6" fillId="4" borderId="0" xfId="1" applyNumberFormat="1" applyFont="1" applyFill="1" applyBorder="1" applyAlignment="1">
      <alignment horizontal="right"/>
    </xf>
    <xf numFmtId="165" fontId="6" fillId="4" borderId="0" xfId="1" applyNumberFormat="1" applyFont="1" applyFill="1" applyBorder="1" applyAlignment="1">
      <alignment horizontal="center"/>
    </xf>
    <xf numFmtId="0" fontId="12" fillId="7" borderId="9" xfId="0" applyFont="1" applyFill="1" applyBorder="1" applyAlignment="1">
      <alignment wrapText="1"/>
    </xf>
    <xf numFmtId="165" fontId="12" fillId="7" borderId="9" xfId="1" applyNumberFormat="1" applyFont="1" applyFill="1" applyBorder="1" applyAlignment="1"/>
    <xf numFmtId="0" fontId="18" fillId="0" borderId="0" xfId="0" applyFont="1" applyFill="1" applyBorder="1"/>
    <xf numFmtId="0" fontId="12" fillId="0" borderId="0" xfId="0" applyFont="1" applyFill="1"/>
    <xf numFmtId="0" fontId="22" fillId="0" borderId="0" xfId="0" applyFont="1" applyFill="1" applyBorder="1" applyAlignment="1">
      <alignment horizontal="right"/>
    </xf>
    <xf numFmtId="165" fontId="12" fillId="0" borderId="0" xfId="1" applyNumberFormat="1" applyFont="1" applyBorder="1" applyAlignment="1"/>
    <xf numFmtId="165" fontId="12" fillId="0" borderId="0" xfId="1" applyNumberFormat="1" applyFont="1" applyAlignment="1"/>
    <xf numFmtId="0" fontId="12" fillId="7" borderId="9" xfId="0" applyFont="1" applyFill="1" applyBorder="1"/>
    <xf numFmtId="0" fontId="6" fillId="0" borderId="0" xfId="0" applyNumberFormat="1" applyFont="1" applyAlignment="1">
      <alignment horizontal="center"/>
    </xf>
    <xf numFmtId="14" fontId="20" fillId="0" borderId="0" xfId="0" applyNumberFormat="1" applyFont="1" applyFill="1"/>
    <xf numFmtId="0" fontId="12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43" fontId="6" fillId="0" borderId="0" xfId="1" applyNumberFormat="1" applyFont="1"/>
    <xf numFmtId="165" fontId="12" fillId="0" borderId="0" xfId="1" applyNumberFormat="1" applyFont="1" applyFill="1" applyBorder="1" applyAlignment="1"/>
    <xf numFmtId="0" fontId="13" fillId="0" borderId="0" xfId="0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/>
    <xf numFmtId="169" fontId="6" fillId="4" borderId="0" xfId="0" applyNumberFormat="1" applyFont="1" applyFill="1"/>
    <xf numFmtId="0" fontId="5" fillId="0" borderId="0" xfId="0" applyFont="1" applyBorder="1"/>
    <xf numFmtId="165" fontId="5" fillId="0" borderId="0" xfId="1" applyNumberFormat="1" applyFont="1" applyFill="1" applyBorder="1" applyAlignment="1"/>
    <xf numFmtId="165" fontId="5" fillId="0" borderId="0" xfId="1" applyNumberFormat="1" applyFont="1" applyBorder="1" applyAlignment="1"/>
    <xf numFmtId="0" fontId="5" fillId="0" borderId="0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12" fillId="0" borderId="0" xfId="0" applyFont="1" applyFill="1" applyBorder="1" applyAlignment="1">
      <alignment horizontal="right"/>
    </xf>
    <xf numFmtId="169" fontId="6" fillId="0" borderId="0" xfId="0" applyNumberFormat="1" applyFont="1" applyFill="1"/>
    <xf numFmtId="165" fontId="5" fillId="4" borderId="0" xfId="1" applyNumberFormat="1" applyFont="1" applyFill="1" applyBorder="1" applyAlignment="1">
      <alignment horizontal="right"/>
    </xf>
    <xf numFmtId="14" fontId="5" fillId="0" borderId="0" xfId="0" applyNumberFormat="1" applyFont="1"/>
    <xf numFmtId="165" fontId="4" fillId="4" borderId="0" xfId="1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168" fontId="12" fillId="0" borderId="8" xfId="1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165" fontId="6" fillId="0" borderId="11" xfId="1" applyNumberFormat="1" applyFont="1" applyFill="1" applyBorder="1" applyAlignment="1">
      <alignment horizontal="center"/>
    </xf>
    <xf numFmtId="165" fontId="6" fillId="0" borderId="11" xfId="1" applyNumberFormat="1" applyFont="1" applyFill="1" applyBorder="1"/>
    <xf numFmtId="0" fontId="0" fillId="0" borderId="0" xfId="0" applyNumberFormat="1" applyAlignment="1"/>
    <xf numFmtId="0" fontId="6" fillId="2" borderId="0" xfId="0" applyFont="1" applyFill="1" applyBorder="1"/>
    <xf numFmtId="166" fontId="6" fillId="2" borderId="0" xfId="0" applyNumberFormat="1" applyFont="1" applyFill="1" applyBorder="1"/>
    <xf numFmtId="0" fontId="22" fillId="2" borderId="0" xfId="0" applyFont="1" applyFill="1" applyBorder="1"/>
    <xf numFmtId="0" fontId="3" fillId="2" borderId="0" xfId="0" applyFont="1" applyFill="1" applyBorder="1"/>
    <xf numFmtId="0" fontId="2" fillId="0" borderId="10" xfId="0" applyFont="1" applyFill="1" applyBorder="1" applyAlignment="1">
      <alignment horizontal="center"/>
    </xf>
    <xf numFmtId="0" fontId="0" fillId="0" borderId="0" xfId="0" quotePrefix="1" applyNumberFormat="1" applyAlignment="1"/>
    <xf numFmtId="14" fontId="0" fillId="0" borderId="0" xfId="0" applyNumberFormat="1" applyAlignment="1"/>
    <xf numFmtId="165" fontId="6" fillId="0" borderId="0" xfId="0" applyNumberFormat="1" applyFont="1" applyBorder="1"/>
    <xf numFmtId="14" fontId="6" fillId="0" borderId="0" xfId="0" applyNumberFormat="1" applyFont="1" applyFill="1" applyBorder="1"/>
    <xf numFmtId="14" fontId="6" fillId="0" borderId="1" xfId="0" applyNumberFormat="1" applyFont="1" applyFill="1" applyBorder="1"/>
    <xf numFmtId="14" fontId="12" fillId="0" borderId="3" xfId="0" applyNumberFormat="1" applyFont="1" applyFill="1" applyBorder="1"/>
    <xf numFmtId="14" fontId="6" fillId="0" borderId="4" xfId="0" applyNumberFormat="1" applyFont="1" applyFill="1" applyBorder="1"/>
    <xf numFmtId="165" fontId="6" fillId="0" borderId="3" xfId="1" applyNumberFormat="1" applyFont="1" applyFill="1" applyBorder="1" applyAlignment="1"/>
    <xf numFmtId="169" fontId="6" fillId="0" borderId="3" xfId="6" applyNumberFormat="1" applyFont="1" applyBorder="1"/>
    <xf numFmtId="41" fontId="12" fillId="0" borderId="5" xfId="1" applyNumberFormat="1" applyFont="1" applyBorder="1" applyAlignment="1"/>
    <xf numFmtId="165" fontId="1" fillId="0" borderId="0" xfId="1" applyNumberFormat="1" applyFont="1"/>
  </cellXfs>
  <cellStyles count="8">
    <cellStyle name="Comma" xfId="1" builtinId="3"/>
    <cellStyle name="Currency" xfId="6" builtinId="4"/>
    <cellStyle name="Normal" xfId="0" builtinId="0"/>
    <cellStyle name="Normal 2" xfId="2"/>
    <cellStyle name="Normal 3" xfId="4"/>
    <cellStyle name="Normal 4" xfId="5"/>
    <cellStyle name="Normal 5" xfId="7"/>
    <cellStyle name="Percent" xfId="3" builtinId="5"/>
  </cellStyles>
  <dxfs count="147"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9" formatCode="dd/mm/yy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8" formatCode="[$-409]mmm/yy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6" tint="0.79998168889431442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>
          <bgColor rgb="FF9FD5B7"/>
        </patternFill>
      </fill>
    </dxf>
    <dxf>
      <font>
        <b/>
        <i val="0"/>
        <color rgb="FFFFFFFF"/>
      </font>
      <fill>
        <patternFill>
          <bgColor rgb="FF217346"/>
        </patternFill>
      </fill>
    </dxf>
    <dxf>
      <border>
        <left style="thin">
          <color rgb="FF439467"/>
        </left>
        <right style="thin">
          <color rgb="FF439467"/>
        </right>
        <top style="thin">
          <color rgb="FF439467"/>
        </top>
        <bottom style="thin">
          <color rgb="FF439467"/>
        </bottom>
        <horizontal style="thin">
          <color rgb="FF439467"/>
        </horizontal>
      </border>
    </dxf>
    <dxf>
      <fill>
        <patternFill>
          <bgColor rgb="FFFCE4D6"/>
        </patternFill>
      </fill>
    </dxf>
    <dxf>
      <font>
        <b/>
        <i val="0"/>
        <color rgb="FFFFFFFF"/>
      </font>
      <fill>
        <patternFill>
          <bgColor rgb="FFED7D31"/>
        </patternFill>
      </fill>
    </dxf>
    <dxf>
      <border>
        <left style="thin">
          <color rgb="FFF4B084"/>
        </left>
        <right style="thin">
          <color rgb="FFF4B084"/>
        </right>
        <top style="thin">
          <color rgb="FFF4B084"/>
        </top>
        <bottom style="thin">
          <color rgb="FFF4B084"/>
        </bottom>
        <horizontal style="thin">
          <color rgb="FFF4B084"/>
        </horizontal>
      </border>
    </dxf>
  </dxfs>
  <tableStyles count="4" defaultTableStyle="TableStyleMedium9" defaultPivotStyle="PivotStyleLight16">
    <tableStyle name="TableStyleQueryError" pivot="0" count="3">
      <tableStyleElement type="wholeTable" dxfId="146"/>
      <tableStyleElement type="headerRow" dxfId="145"/>
      <tableStyleElement type="firstRowStripe" dxfId="144"/>
    </tableStyle>
    <tableStyle name="TableStyleQueryInfo" pivot="0" count="3">
      <tableStyleElement type="wholeTable" dxfId="143"/>
      <tableStyleElement type="headerRow" dxfId="142"/>
      <tableStyleElement type="firstRowStripe" dxfId="141"/>
    </tableStyle>
    <tableStyle name="TableStyleQueryPreview" pivot="0" count="3">
      <tableStyleElement type="wholeTable" dxfId="140"/>
      <tableStyleElement type="headerRow" dxfId="139"/>
      <tableStyleElement type="firstRowStripe" dxfId="138"/>
    </tableStyle>
    <tableStyle name="TableStyleQueryResult" pivot="0" count="3">
      <tableStyleElement type="wholeTable" dxfId="137"/>
      <tableStyleElement type="headerRow" dxfId="136"/>
      <tableStyleElement type="firstRowStripe" dxfId="135"/>
    </tableStyle>
  </tableStyles>
  <colors>
    <mruColors>
      <color rgb="FFFF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ate" tableColumnId="60"/>
      <queryTableField id="2" name="Name" tableColumnId="61"/>
      <queryTableField id="3" name="Type 2" tableColumnId="62"/>
      <queryTableField id="4" name="Type 1" tableColumnId="63"/>
      <queryTableField id="5" name="Amount (ILS)" tableColumnId="64"/>
      <queryTableField id="6" name="Payment method" tableColumnId="65"/>
      <queryTableField id="7" name="Amount (USD)" tableColumnId="66"/>
      <queryTableField id="8" name="Amount (EUR)" tableColumnId="67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Rates" displayName="Rates" ref="B3:C6" totalsRowShown="0" tableBorderDxfId="134">
  <autoFilter ref="B3:C6"/>
  <tableColumns count="2">
    <tableColumn id="1" name="מטבע" dataDxfId="133"/>
    <tableColumn id="2" name="שער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3:S46" totalsRowShown="0" headerRowDxfId="124" dataDxfId="122" headerRowBorderDxfId="123" tableBorderDxfId="121" totalsRowBorderDxfId="120" headerRowCellStyle="Comma" dataCellStyle="Comma">
  <autoFilter ref="B3:S46"/>
  <tableColumns count="18">
    <tableColumn id="1" name="Name" dataDxfId="119"/>
    <tableColumn id="2" name="Type 2" dataDxfId="118"/>
    <tableColumn id="3" name="Type 1" dataDxfId="117"/>
    <tableColumn id="4" name="Day of Month" dataDxfId="116"/>
    <tableColumn id="5" name="Payment method" dataDxfId="115"/>
    <tableColumn id="6" name="Currency" dataDxfId="114"/>
    <tableColumn id="7" name="Jan-15" dataDxfId="113" dataCellStyle="Comma"/>
    <tableColumn id="8" name="Feb-15" dataDxfId="112" dataCellStyle="Comma">
      <calculatedColumnFormula>H4</calculatedColumnFormula>
    </tableColumn>
    <tableColumn id="9" name="Mar-15" dataDxfId="111" dataCellStyle="Comma">
      <calculatedColumnFormula>I4</calculatedColumnFormula>
    </tableColumn>
    <tableColumn id="10" name="Apr-15" dataDxfId="110" dataCellStyle="Comma">
      <calculatedColumnFormula>J4</calculatedColumnFormula>
    </tableColumn>
    <tableColumn id="11" name="May-15" dataDxfId="109" dataCellStyle="Comma">
      <calculatedColumnFormula>K4</calculatedColumnFormula>
    </tableColumn>
    <tableColumn id="12" name="Jun-15" dataDxfId="108" dataCellStyle="Comma">
      <calculatedColumnFormula>L4</calculatedColumnFormula>
    </tableColumn>
    <tableColumn id="13" name="Jul-15" dataDxfId="107" dataCellStyle="Comma">
      <calculatedColumnFormula>M4</calculatedColumnFormula>
    </tableColumn>
    <tableColumn id="14" name="Aug-15" dataDxfId="106" dataCellStyle="Comma">
      <calculatedColumnFormula>N4</calculatedColumnFormula>
    </tableColumn>
    <tableColumn id="15" name="Sep-15" dataDxfId="105" dataCellStyle="Comma">
      <calculatedColumnFormula>O4</calculatedColumnFormula>
    </tableColumn>
    <tableColumn id="16" name="Oct-15" dataDxfId="104" dataCellStyle="Comma">
      <calculatedColumnFormula>P4</calculatedColumnFormula>
    </tableColumn>
    <tableColumn id="17" name="Nov-15" dataDxfId="103" dataCellStyle="Comma">
      <calculatedColumnFormula>Q4</calculatedColumnFormula>
    </tableColumn>
    <tableColumn id="18" name="Dec-15" dataDxfId="102" dataCellStyle="Comma">
      <calculatedColumnFormula>R4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FlatDataset" displayName="FlatDataset" ref="A1:H397" tableType="queryTable" totalsRowShown="0" headerRowDxfId="99" dataDxfId="98">
  <autoFilter ref="A1:H397"/>
  <tableColumns count="8">
    <tableColumn id="60" uniqueName="60" name="Date" queryTableFieldId="1" dataDxfId="97"/>
    <tableColumn id="61" uniqueName="61" name="Name" queryTableFieldId="2" dataDxfId="96"/>
    <tableColumn id="62" uniqueName="62" name="Type 2" queryTableFieldId="3" dataDxfId="95"/>
    <tableColumn id="63" uniqueName="63" name="Type 1" queryTableFieldId="4" dataDxfId="94"/>
    <tableColumn id="64" uniqueName="64" name="Amount (ILS)" queryTableFieldId="5" dataDxfId="93"/>
    <tableColumn id="65" uniqueName="65" name="Payment method" queryTableFieldId="6" dataDxfId="92"/>
    <tableColumn id="66" uniqueName="66" name="Amount (USD)" queryTableFieldId="7" dataDxfId="91"/>
    <tableColumn id="67" uniqueName="67" name="Amount (EUR)" queryTableFieldId="8" dataDxfId="9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3:C7"/>
  <sheetViews>
    <sheetView showGridLines="0" rightToLeft="1" zoomScaleNormal="100" workbookViewId="0">
      <selection activeCell="C5" sqref="C5"/>
    </sheetView>
  </sheetViews>
  <sheetFormatPr defaultColWidth="9" defaultRowHeight="15"/>
  <cols>
    <col min="1" max="1" width="9" style="14"/>
    <col min="2" max="2" width="14.42578125" style="14" customWidth="1"/>
    <col min="3" max="3" width="20.7109375" style="14" customWidth="1"/>
    <col min="4" max="16384" width="9" style="14"/>
  </cols>
  <sheetData>
    <row r="3" spans="2:3">
      <c r="B3" s="162" t="s">
        <v>159</v>
      </c>
      <c r="C3" s="163" t="s">
        <v>160</v>
      </c>
    </row>
    <row r="4" spans="2:3">
      <c r="B4" s="160" t="s">
        <v>26</v>
      </c>
      <c r="C4" s="161">
        <v>1</v>
      </c>
    </row>
    <row r="5" spans="2:3">
      <c r="B5" s="160" t="s">
        <v>3</v>
      </c>
      <c r="C5" s="160">
        <v>3.85</v>
      </c>
    </row>
    <row r="6" spans="2:3">
      <c r="B6" s="160" t="s">
        <v>4</v>
      </c>
      <c r="C6" s="160">
        <v>4.37</v>
      </c>
    </row>
    <row r="7" spans="2:3">
      <c r="B7" s="14" t="s">
        <v>20</v>
      </c>
      <c r="C7" s="75">
        <f>EUR/USD</f>
        <v>1.1350649350649351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3:L140"/>
  <sheetViews>
    <sheetView showGridLines="0" rightToLeft="1" zoomScale="90" zoomScaleNormal="90" workbookViewId="0">
      <selection activeCell="K18" sqref="K18"/>
    </sheetView>
  </sheetViews>
  <sheetFormatPr defaultColWidth="9.140625" defaultRowHeight="15"/>
  <cols>
    <col min="1" max="1" width="5.85546875" style="14" customWidth="1"/>
    <col min="2" max="2" width="28.42578125" style="14" customWidth="1"/>
    <col min="3" max="3" width="13.7109375" style="14" customWidth="1"/>
    <col min="4" max="4" width="6.28515625" style="82" customWidth="1"/>
    <col min="5" max="5" width="36.42578125" style="14" customWidth="1"/>
    <col min="6" max="6" width="13" style="29" customWidth="1"/>
    <col min="7" max="7" width="4.7109375" style="91" customWidth="1"/>
    <col min="8" max="8" width="3.28515625" style="14" customWidth="1"/>
    <col min="9" max="11" width="13.7109375" style="82" customWidth="1"/>
    <col min="12" max="14" width="13.7109375" style="14" customWidth="1"/>
    <col min="15" max="16384" width="9.140625" style="14"/>
  </cols>
  <sheetData>
    <row r="3" spans="1:12">
      <c r="B3" s="14" t="s">
        <v>24</v>
      </c>
      <c r="C3" s="129">
        <f>Forecast3!C4+1</f>
        <v>42125</v>
      </c>
    </row>
    <row r="4" spans="1:12">
      <c r="B4" s="14" t="s">
        <v>25</v>
      </c>
      <c r="C4" s="93">
        <v>42155</v>
      </c>
    </row>
    <row r="5" spans="1:12">
      <c r="I5" s="95"/>
      <c r="J5" s="95"/>
      <c r="K5" s="95"/>
      <c r="L5" s="24"/>
    </row>
    <row r="8" spans="1:12">
      <c r="C8" s="96"/>
      <c r="F8" s="96"/>
      <c r="H8" s="91"/>
    </row>
    <row r="9" spans="1:12">
      <c r="B9" s="97" t="s">
        <v>35</v>
      </c>
      <c r="C9" s="98"/>
      <c r="D9" s="84"/>
      <c r="E9" s="99" t="s">
        <v>19</v>
      </c>
      <c r="F9" s="100"/>
      <c r="G9" s="101"/>
      <c r="H9" s="101"/>
    </row>
    <row r="10" spans="1:12">
      <c r="B10" s="102"/>
      <c r="C10" s="103"/>
      <c r="D10" s="83"/>
      <c r="E10" s="102"/>
      <c r="F10" s="103"/>
      <c r="G10" s="104"/>
      <c r="H10" s="104"/>
    </row>
    <row r="11" spans="1:12">
      <c r="A11" s="24"/>
      <c r="B11" s="46" t="s">
        <v>5</v>
      </c>
      <c r="C11" s="105"/>
      <c r="D11" s="83"/>
      <c r="E11" s="106" t="s">
        <v>63</v>
      </c>
      <c r="F11" s="107"/>
      <c r="G11" s="104"/>
      <c r="H11" s="104"/>
    </row>
    <row r="12" spans="1:12">
      <c r="B12" s="14" t="str">
        <f>'All Periods'!B20</f>
        <v>הזרמה 3</v>
      </c>
      <c r="C12" s="108">
        <f>'All Periods'!C20</f>
        <v>10000</v>
      </c>
      <c r="E12" s="82" t="str">
        <f>IF('All Periods'!E12="","",'All Periods'!E12)</f>
        <v>הלוואות - דיסקונט</v>
      </c>
      <c r="F12" s="96">
        <f>SUMIFS(FlatDataset[Amount (ILS)],FlatDataset[Payment method],E12,FlatDataset[Date],"&gt;="&amp;C$3,FlatDataset[Date],"&lt;="&amp;$C$4)</f>
        <v>8000</v>
      </c>
      <c r="H12" s="91"/>
    </row>
    <row r="13" spans="1:12">
      <c r="B13" s="15" t="s">
        <v>84</v>
      </c>
      <c r="C13" s="96">
        <f>Forecast3!C139</f>
        <v>-326840</v>
      </c>
      <c r="E13" s="82" t="str">
        <f>IF('All Periods'!E13="","",'All Periods'!E13)</f>
        <v>צ'ק - דיסקונט</v>
      </c>
      <c r="F13" s="96">
        <f>SUMIFS(FlatDataset[Amount (ILS)],FlatDataset[Payment method],E13,FlatDataset[Date],"&gt;="&amp;C$3,FlatDataset[Date],"&lt;="&amp;$C$4)</f>
        <v>4500</v>
      </c>
      <c r="H13" s="91"/>
    </row>
    <row r="14" spans="1:12">
      <c r="B14" s="76"/>
      <c r="C14" s="103"/>
      <c r="E14" s="82" t="str">
        <f>IF('All Periods'!E14="","",'All Periods'!E14)</f>
        <v/>
      </c>
      <c r="F14" s="96">
        <f>SUMIFS(FlatDataset[Amount (ILS)],FlatDataset[Payment method],E14,FlatDataset[Date],"&gt;="&amp;C$3,FlatDataset[Date],"&lt;="&amp;$C$4)</f>
        <v>0</v>
      </c>
      <c r="H14" s="91"/>
    </row>
    <row r="15" spans="1:12">
      <c r="B15" s="76"/>
      <c r="C15" s="103"/>
      <c r="E15" s="82" t="str">
        <f>IF('All Periods'!E15="","",'All Periods'!E15)</f>
        <v/>
      </c>
      <c r="F15" s="96">
        <f>SUMIFS(FlatDataset[Amount (ILS)],FlatDataset[Payment method],E15,FlatDataset[Date],"&gt;="&amp;C$3,FlatDataset[Date],"&lt;="&amp;$C$4)</f>
        <v>0</v>
      </c>
      <c r="H15" s="91"/>
    </row>
    <row r="16" spans="1:12">
      <c r="B16" s="76"/>
      <c r="C16" s="108"/>
      <c r="E16" s="82" t="str">
        <f>IF('All Periods'!E16="","",'All Periods'!E16)</f>
        <v/>
      </c>
      <c r="F16" s="96">
        <f>SUMIFS(FlatDataset[Amount (ILS)],FlatDataset[Payment method],E16,FlatDataset[Date],"&gt;="&amp;C$3,FlatDataset[Date],"&lt;="&amp;$C$4)</f>
        <v>0</v>
      </c>
      <c r="H16" s="91"/>
    </row>
    <row r="17" spans="2:11">
      <c r="E17" s="82" t="str">
        <f>IF('All Periods'!E17="","",'All Periods'!E17)</f>
        <v/>
      </c>
      <c r="F17" s="96">
        <f>SUMIFS(FlatDataset[Amount (ILS)],FlatDataset[Payment method],E17,FlatDataset[Date],"&gt;="&amp;C$3,FlatDataset[Date],"&lt;="&amp;$C$4)</f>
        <v>0</v>
      </c>
      <c r="H17" s="91"/>
    </row>
    <row r="18" spans="2:11" s="102" customFormat="1">
      <c r="B18" s="5"/>
      <c r="C18" s="133"/>
      <c r="D18" s="83"/>
      <c r="E18" s="82" t="str">
        <f>IF('All Periods'!E18="","",'All Periods'!E18)</f>
        <v/>
      </c>
      <c r="F18" s="96">
        <f>SUMIFS(FlatDataset[Amount (ILS)],FlatDataset[Payment method],E18,FlatDataset[Date],"&gt;="&amp;C$3,FlatDataset[Date],"&lt;="&amp;$C$4)</f>
        <v>0</v>
      </c>
      <c r="G18" s="104"/>
      <c r="H18" s="104"/>
      <c r="I18" s="83"/>
      <c r="J18" s="83"/>
      <c r="K18" s="83"/>
    </row>
    <row r="19" spans="2:11" s="102" customFormat="1">
      <c r="D19" s="83"/>
      <c r="E19" s="82" t="str">
        <f>IF('All Periods'!E19="","",'All Periods'!E19)</f>
        <v/>
      </c>
      <c r="F19" s="96">
        <f>SUMIFS(FlatDataset[Amount (ILS)],FlatDataset[Payment method],E19,FlatDataset[Date],"&gt;="&amp;C$3,FlatDataset[Date],"&lt;="&amp;$C$4)</f>
        <v>0</v>
      </c>
      <c r="G19" s="104"/>
      <c r="H19" s="104"/>
      <c r="I19" s="83"/>
      <c r="J19" s="83"/>
      <c r="K19" s="83"/>
    </row>
    <row r="20" spans="2:11">
      <c r="E20" s="82" t="str">
        <f>IF('All Periods'!E20="","",'All Periods'!E20)</f>
        <v/>
      </c>
      <c r="F20" s="96">
        <f>SUMIFS(FlatDataset[Amount (ILS)],FlatDataset[Payment method],E20,FlatDataset[Date],"&gt;="&amp;C$3,FlatDataset[Date],"&lt;="&amp;$C$4)</f>
        <v>0</v>
      </c>
      <c r="H20" s="91"/>
    </row>
    <row r="21" spans="2:11">
      <c r="E21" s="82" t="str">
        <f>IF('All Periods'!E21="","",'All Periods'!E21)</f>
        <v/>
      </c>
      <c r="F21" s="96">
        <f>SUMIFS(FlatDataset[Amount (ILS)],FlatDataset[Payment method],E21,FlatDataset[Date],"&gt;="&amp;C$3,FlatDataset[Date],"&lt;="&amp;$C$4)</f>
        <v>0</v>
      </c>
      <c r="H21" s="91"/>
    </row>
    <row r="22" spans="2:11">
      <c r="E22" s="82" t="str">
        <f>IF('All Periods'!E22="","",'All Periods'!E22)</f>
        <v/>
      </c>
      <c r="F22" s="96">
        <f>SUMIFS(FlatDataset[Amount (ILS)],FlatDataset[Payment method],E22,FlatDataset[Date],"&gt;="&amp;C$3,FlatDataset[Date],"&lt;="&amp;$C$4)</f>
        <v>0</v>
      </c>
      <c r="H22" s="91"/>
    </row>
    <row r="23" spans="2:11" ht="15.75" thickBot="1">
      <c r="B23" s="112" t="s">
        <v>41</v>
      </c>
      <c r="C23" s="113">
        <f>SUM(C12:C19)-SUMIFS(C12:C19,D12:D19,"x")</f>
        <v>-316840</v>
      </c>
      <c r="E23" s="112" t="s">
        <v>65</v>
      </c>
      <c r="F23" s="113">
        <f>SUM(F12:F22)-SUMIFS(F12:F22,G12:G22,"x")</f>
        <v>12500</v>
      </c>
      <c r="H23" s="91"/>
    </row>
    <row r="24" spans="2:11">
      <c r="H24" s="91"/>
    </row>
    <row r="25" spans="2:11">
      <c r="B25" s="106" t="s">
        <v>32</v>
      </c>
      <c r="C25" s="107"/>
      <c r="E25" s="106" t="s">
        <v>64</v>
      </c>
      <c r="F25" s="107"/>
      <c r="H25" s="91"/>
    </row>
    <row r="26" spans="2:11">
      <c r="C26" s="96"/>
      <c r="E26" s="82" t="str">
        <f>IF('All Periods'!E27="","",'All Periods'!E27)</f>
        <v>הלוואות - מזרחי</v>
      </c>
      <c r="F26" s="96">
        <f>SUMIFS(FlatDataset[Amount (ILS)],FlatDataset[Payment method],E26,FlatDataset[Date],"&gt;="&amp;C$3,FlatDataset[Date],"&lt;="&amp;$C$4)</f>
        <v>5000</v>
      </c>
      <c r="H26" s="91"/>
    </row>
    <row r="27" spans="2:11">
      <c r="B27" s="15"/>
      <c r="C27" s="108"/>
      <c r="E27" s="82" t="str">
        <f>IF('All Periods'!E28="","",'All Periods'!E28)</f>
        <v>צ'ק - מזרחי</v>
      </c>
      <c r="F27" s="96">
        <f>SUMIFS(FlatDataset[Amount (ILS)],FlatDataset[Payment method],E27,FlatDataset[Date],"&gt;="&amp;C$3,FlatDataset[Date],"&lt;="&amp;$C$4)</f>
        <v>1000</v>
      </c>
      <c r="H27" s="91"/>
    </row>
    <row r="28" spans="2:11">
      <c r="B28" s="76"/>
      <c r="C28" s="103"/>
      <c r="E28" s="82" t="str">
        <f>IF('All Periods'!E29="","",'All Periods'!E29)</f>
        <v>הוראות קבע - מזרחי</v>
      </c>
      <c r="F28" s="96">
        <f>SUMIFS(FlatDataset[Amount (ILS)],FlatDataset[Payment method],E28,FlatDataset[Date],"&gt;="&amp;C$3,FlatDataset[Date],"&lt;="&amp;$C$4)</f>
        <v>0</v>
      </c>
      <c r="H28" s="91"/>
    </row>
    <row r="29" spans="2:11">
      <c r="B29" s="76"/>
      <c r="C29" s="103"/>
      <c r="E29" s="82" t="str">
        <f>IF('All Periods'!E30="","",'All Periods'!E30)</f>
        <v/>
      </c>
      <c r="F29" s="96">
        <f>SUMIFS(FlatDataset[Amount (ILS)],FlatDataset[Payment method],E29,FlatDataset[Date],"&gt;="&amp;C$3,FlatDataset[Date],"&lt;="&amp;$C$4)</f>
        <v>0</v>
      </c>
      <c r="H29" s="91"/>
    </row>
    <row r="30" spans="2:11">
      <c r="C30" s="103"/>
      <c r="E30" s="82" t="str">
        <f>IF('All Periods'!E31="","",'All Periods'!E31)</f>
        <v/>
      </c>
      <c r="F30" s="96">
        <f>SUMIFS(FlatDataset[Amount (ILS)],FlatDataset[Payment method],E30,FlatDataset[Date],"&gt;="&amp;C$3,FlatDataset[Date],"&lt;="&amp;$C$4)</f>
        <v>0</v>
      </c>
      <c r="H30" s="91"/>
    </row>
    <row r="31" spans="2:11" ht="15.75" thickBot="1">
      <c r="B31" s="112" t="s">
        <v>39</v>
      </c>
      <c r="C31" s="113">
        <f>SUM(C26:C30)</f>
        <v>0</v>
      </c>
      <c r="E31" s="112" t="s">
        <v>65</v>
      </c>
      <c r="F31" s="113">
        <f>SUM(F26:F30)-SUMIFS(F26:F30,G26:G30,"x")</f>
        <v>6000</v>
      </c>
      <c r="H31" s="91"/>
    </row>
    <row r="32" spans="2:11">
      <c r="H32" s="91"/>
    </row>
    <row r="33" spans="2:8" ht="15.75" thickBot="1">
      <c r="B33" s="115" t="s">
        <v>66</v>
      </c>
      <c r="C33" s="116">
        <f>SUM(C31,C23)-SUM(F31,F23)</f>
        <v>-335340</v>
      </c>
      <c r="H33" s="91"/>
    </row>
    <row r="34" spans="2:8" ht="15.75" thickTop="1">
      <c r="H34" s="91"/>
    </row>
    <row r="35" spans="2:8">
      <c r="H35" s="91"/>
    </row>
    <row r="36" spans="2:8">
      <c r="B36" s="145"/>
      <c r="C36" s="62"/>
      <c r="H36" s="91"/>
    </row>
    <row r="37" spans="2:8">
      <c r="B37" s="76"/>
      <c r="C37" s="62"/>
      <c r="E37" s="117" t="s">
        <v>37</v>
      </c>
      <c r="F37" s="96"/>
      <c r="H37" s="91"/>
    </row>
    <row r="38" spans="2:8">
      <c r="B38" s="76"/>
      <c r="C38" s="62"/>
      <c r="E38" s="82" t="str">
        <f>IF('All Periods'!E39="","",'All Periods'!E39)</f>
        <v>משכורות</v>
      </c>
      <c r="F38" s="96">
        <f>SUMIFS(FlatDataset[Amount (ILS)],FlatDataset[Name],E38,FlatDataset[Date],"&gt;="&amp;C$3,FlatDataset[Date],"&lt;="&amp;C$4)</f>
        <v>100000</v>
      </c>
      <c r="G38" s="91">
        <f>'All Periods'!G39</f>
        <v>0</v>
      </c>
      <c r="H38" s="104"/>
    </row>
    <row r="39" spans="2:8">
      <c r="B39" s="5"/>
      <c r="C39" s="133"/>
      <c r="E39" s="82" t="str">
        <f>IF('All Periods'!E40="","",'All Periods'!E40)</f>
        <v>ביטוח לאומי</v>
      </c>
      <c r="F39" s="96">
        <f>SUMIFS(FlatDataset[Amount (ILS)],FlatDataset[Name],E39,FlatDataset[Date],"&gt;="&amp;C$3,FlatDataset[Date],"&lt;="&amp;C$4)</f>
        <v>20000</v>
      </c>
      <c r="G39" s="91">
        <f>'All Periods'!G40</f>
        <v>0</v>
      </c>
      <c r="H39" s="104"/>
    </row>
    <row r="40" spans="2:8">
      <c r="E40" s="82" t="str">
        <f>IF('All Periods'!E41="","",'All Periods'!E41)</f>
        <v>מס הכנסה - ניכוי במקור משכורות</v>
      </c>
      <c r="F40" s="96">
        <f>SUMIFS(FlatDataset[Amount (ILS)],FlatDataset[Name],E40,FlatDataset[Date],"&gt;="&amp;C$3,FlatDataset[Date],"&lt;="&amp;C$4)</f>
        <v>20000</v>
      </c>
      <c r="G40" s="91">
        <f>'All Periods'!G41</f>
        <v>0</v>
      </c>
      <c r="H40" s="104"/>
    </row>
    <row r="41" spans="2:8">
      <c r="B41" s="15"/>
      <c r="C41" s="96"/>
      <c r="E41" s="82" t="str">
        <f>IF('All Periods'!E42="","",'All Periods'!E42)</f>
        <v>קופות פנסיה</v>
      </c>
      <c r="F41" s="96">
        <f>SUMIFS(FlatDataset[Amount (ILS)],FlatDataset[Name],E41,FlatDataset[Date],"&gt;="&amp;C$3,FlatDataset[Date],"&lt;="&amp;C$4)</f>
        <v>30000</v>
      </c>
      <c r="G41" s="91">
        <f>'All Periods'!G42</f>
        <v>0</v>
      </c>
      <c r="H41" s="104"/>
    </row>
    <row r="42" spans="2:8" ht="15.75" thickBot="1">
      <c r="B42" s="120" t="s">
        <v>61</v>
      </c>
      <c r="C42" s="121">
        <f>SUM(C31,C23)</f>
        <v>-316840</v>
      </c>
      <c r="E42" s="82" t="str">
        <f>IF('All Periods'!E43="","",'All Periods'!E43)</f>
        <v>מעמ ישראל</v>
      </c>
      <c r="F42" s="96">
        <f>SUMIFS(FlatDataset[Amount (ILS)],FlatDataset[Name],E42,FlatDataset[Date],"&gt;="&amp;C$3,FlatDataset[Date],"&lt;="&amp;C$4)</f>
        <v>10000</v>
      </c>
      <c r="G42" s="91">
        <f>'All Periods'!G43</f>
        <v>0</v>
      </c>
      <c r="H42" s="104"/>
    </row>
    <row r="43" spans="2:8">
      <c r="B43" s="122"/>
      <c r="E43" s="82" t="str">
        <f>IF('All Periods'!E44="","",'All Periods'!E44)</f>
        <v>משכורות - אירופה</v>
      </c>
      <c r="F43" s="96">
        <f>SUMIFS(FlatDataset[Amount (ILS)],FlatDataset[Name],E43,FlatDataset[Date],"&gt;="&amp;C$3,FlatDataset[Date],"&lt;="&amp;C$4)</f>
        <v>21850</v>
      </c>
      <c r="G43" s="91">
        <f>'All Periods'!G44</f>
        <v>0</v>
      </c>
      <c r="H43" s="104"/>
    </row>
    <row r="44" spans="2:8">
      <c r="B44" s="14" t="s">
        <v>104</v>
      </c>
      <c r="C44" s="108">
        <f>SUMIFS('צ''קים בקופה'!C:C,'צ''קים בקופה'!E:E,"&lt;="&amp;end_date4+183,'צ''קים בקופה'!E:E,"&gt;="&amp;start_date4+183)</f>
        <v>0</v>
      </c>
      <c r="E44" s="82" t="str">
        <f>IF('All Periods'!E45="","",'All Periods'!E45)</f>
        <v/>
      </c>
      <c r="F44" s="96">
        <f>SUMIFS(FlatDataset[Amount (ILS)],FlatDataset[Name],E44,FlatDataset[Date],"&gt;="&amp;C$3,FlatDataset[Date],"&lt;="&amp;C$4)</f>
        <v>0</v>
      </c>
      <c r="G44" s="91">
        <f>'All Periods'!G45</f>
        <v>0</v>
      </c>
      <c r="H44" s="104"/>
    </row>
    <row r="45" spans="2:8">
      <c r="B45" s="138" t="s">
        <v>78</v>
      </c>
      <c r="C45" s="109">
        <v>100000</v>
      </c>
      <c r="E45" s="82"/>
      <c r="F45" s="96">
        <f>SUMIFS(FlatDataset[Amount (ILS)],FlatDataset[Name],E45,FlatDataset[Date],"&gt;="&amp;C$3,FlatDataset[Date],"&lt;="&amp;C$4)</f>
        <v>0</v>
      </c>
      <c r="H45" s="91"/>
    </row>
    <row r="46" spans="2:8">
      <c r="B46" s="26"/>
      <c r="C46" s="62"/>
      <c r="E46" s="124" t="s">
        <v>79</v>
      </c>
      <c r="F46" s="126"/>
      <c r="G46" s="104"/>
      <c r="H46" s="91"/>
    </row>
    <row r="47" spans="2:8">
      <c r="E47" s="82" t="str">
        <f>IF('All Periods'!E48="","",'All Periods'!E48)</f>
        <v>ספק א</v>
      </c>
      <c r="F47" s="96">
        <f>SUMIFS(FlatDataset[Amount (ILS)],FlatDataset[Name],E47,FlatDataset[Date],"&gt;="&amp;C$3,FlatDataset[Date],"&lt;="&amp;C$4)</f>
        <v>5000</v>
      </c>
      <c r="G47" s="104">
        <f>'All Periods'!G48</f>
        <v>0</v>
      </c>
      <c r="H47" s="91"/>
    </row>
    <row r="48" spans="2:8">
      <c r="E48" s="82" t="str">
        <f>IF('All Periods'!E49="","",'All Periods'!E49)</f>
        <v>ספק ב</v>
      </c>
      <c r="F48" s="96">
        <f>SUMIFS(FlatDataset[Amount (ILS)],FlatDataset[Name],E48,FlatDataset[Date],"&gt;="&amp;C$3,FlatDataset[Date],"&lt;="&amp;C$4)</f>
        <v>0</v>
      </c>
      <c r="G48" s="104">
        <f>'All Periods'!G49</f>
        <v>0</v>
      </c>
      <c r="H48" s="91"/>
    </row>
    <row r="49" spans="2:8">
      <c r="B49" s="140"/>
      <c r="C49" s="141"/>
      <c r="E49" s="82" t="str">
        <f>IF('All Periods'!E50="","",'All Periods'!E50)</f>
        <v>ספק ג</v>
      </c>
      <c r="F49" s="96">
        <f>SUMIFS(FlatDataset[Amount (ILS)],FlatDataset[Name],E49,FlatDataset[Date],"&gt;="&amp;C$3,FlatDataset[Date],"&lt;="&amp;C$4)</f>
        <v>13110</v>
      </c>
      <c r="G49" s="104">
        <f>'All Periods'!G50</f>
        <v>0</v>
      </c>
      <c r="H49" s="91"/>
    </row>
    <row r="50" spans="2:8">
      <c r="B50" s="140"/>
      <c r="C50" s="142"/>
      <c r="E50" s="82" t="str">
        <f>IF('All Periods'!E51="","",'All Periods'!E51)</f>
        <v>ספק ד</v>
      </c>
      <c r="F50" s="96">
        <f>SUMIFS(FlatDataset[Amount (ILS)],FlatDataset[Name],E50,FlatDataset[Date],"&gt;="&amp;C$3,FlatDataset[Date],"&lt;="&amp;C$4)</f>
        <v>0</v>
      </c>
      <c r="G50" s="104">
        <f>'All Periods'!G51</f>
        <v>0</v>
      </c>
      <c r="H50" s="91"/>
    </row>
    <row r="51" spans="2:8">
      <c r="B51" s="143"/>
      <c r="C51" s="141"/>
      <c r="E51" s="82" t="str">
        <f>IF('All Periods'!E52="","",'All Periods'!E52)</f>
        <v/>
      </c>
      <c r="F51" s="96">
        <f>SUMIFS(FlatDataset[Amount (ILS)],FlatDataset[Name],E51,FlatDataset[Date],"&gt;="&amp;C$3,FlatDataset[Date],"&lt;="&amp;C$4)</f>
        <v>0</v>
      </c>
      <c r="G51" s="104">
        <f>'All Periods'!G52</f>
        <v>0</v>
      </c>
      <c r="H51" s="91"/>
    </row>
    <row r="52" spans="2:8">
      <c r="E52" s="82" t="str">
        <f>IF('All Periods'!E53="","",'All Periods'!E53)</f>
        <v/>
      </c>
      <c r="F52" s="96">
        <f>SUMIFS(FlatDataset[Amount (ILS)],FlatDataset[Name],E52,FlatDataset[Date],"&gt;="&amp;C$3,FlatDataset[Date],"&lt;="&amp;C$4)</f>
        <v>0</v>
      </c>
      <c r="G52" s="104">
        <f>'All Periods'!G53</f>
        <v>0</v>
      </c>
      <c r="H52" s="91"/>
    </row>
    <row r="53" spans="2:8">
      <c r="B53" s="26"/>
      <c r="C53" s="62"/>
      <c r="E53" s="82" t="str">
        <f>IF('All Periods'!E54="","",'All Periods'!E54)</f>
        <v/>
      </c>
      <c r="F53" s="96">
        <f>SUMIFS(FlatDataset[Amount (ILS)],FlatDataset[Name],E53,FlatDataset[Date],"&gt;="&amp;C$3,FlatDataset[Date],"&lt;="&amp;C$4)</f>
        <v>0</v>
      </c>
      <c r="G53" s="104">
        <f>'All Periods'!G54</f>
        <v>0</v>
      </c>
      <c r="H53" s="91"/>
    </row>
    <row r="54" spans="2:8">
      <c r="C54" s="52"/>
      <c r="E54" s="82" t="str">
        <f>IF('All Periods'!E55="","",'All Periods'!E55)</f>
        <v/>
      </c>
      <c r="F54" s="96">
        <f>SUMIFS(FlatDataset[Amount (ILS)],FlatDataset[Name],E54,FlatDataset[Date],"&gt;="&amp;C$3,FlatDataset[Date],"&lt;="&amp;C$4)</f>
        <v>0</v>
      </c>
      <c r="G54" s="104">
        <f>'All Periods'!G55</f>
        <v>0</v>
      </c>
      <c r="H54" s="91"/>
    </row>
    <row r="55" spans="2:8">
      <c r="C55" s="17"/>
      <c r="E55" s="82" t="str">
        <f>IF('All Periods'!E56="","",'All Periods'!E56)</f>
        <v/>
      </c>
      <c r="F55" s="96">
        <f>SUMIFS(FlatDataset[Amount (ILS)],FlatDataset[Name],E55,FlatDataset[Date],"&gt;="&amp;C$3,FlatDataset[Date],"&lt;="&amp;C$4)</f>
        <v>0</v>
      </c>
      <c r="G55" s="104">
        <f>'All Periods'!G56</f>
        <v>0</v>
      </c>
      <c r="H55" s="91"/>
    </row>
    <row r="56" spans="2:8">
      <c r="E56" s="82" t="str">
        <f>IF('All Periods'!E57="","",'All Periods'!E57)</f>
        <v/>
      </c>
      <c r="F56" s="96">
        <f>SUMIFS(FlatDataset[Amount (ILS)],FlatDataset[Name],E56,FlatDataset[Date],"&gt;="&amp;C$3,FlatDataset[Date],"&lt;="&amp;C$4)</f>
        <v>0</v>
      </c>
      <c r="G56" s="104">
        <f>'All Periods'!G57</f>
        <v>0</v>
      </c>
      <c r="H56" s="91"/>
    </row>
    <row r="57" spans="2:8">
      <c r="E57" s="82" t="str">
        <f>IF('All Periods'!E58="","",'All Periods'!E58)</f>
        <v/>
      </c>
      <c r="F57" s="96">
        <f>SUMIFS(FlatDataset[Amount (ILS)],FlatDataset[Name],E57,FlatDataset[Date],"&gt;="&amp;C$3,FlatDataset[Date],"&lt;="&amp;C$4)</f>
        <v>0</v>
      </c>
      <c r="G57" s="104">
        <f>'All Periods'!G58</f>
        <v>0</v>
      </c>
      <c r="H57" s="91"/>
    </row>
    <row r="58" spans="2:8">
      <c r="E58" s="82" t="str">
        <f>IF('All Periods'!E59="","",'All Periods'!E59)</f>
        <v/>
      </c>
      <c r="F58" s="96">
        <f>SUMIFS(FlatDataset[Amount (ILS)],FlatDataset[Name],E58,FlatDataset[Date],"&gt;="&amp;C$3,FlatDataset[Date],"&lt;="&amp;C$4)</f>
        <v>0</v>
      </c>
      <c r="G58" s="104">
        <f>'All Periods'!G59</f>
        <v>0</v>
      </c>
      <c r="H58" s="91"/>
    </row>
    <row r="59" spans="2:8">
      <c r="H59" s="91"/>
    </row>
    <row r="60" spans="2:8">
      <c r="E60" s="82"/>
      <c r="F60" s="96"/>
      <c r="H60" s="91"/>
    </row>
    <row r="61" spans="2:8">
      <c r="E61" s="124" t="s">
        <v>21</v>
      </c>
      <c r="F61" s="96"/>
      <c r="H61" s="91"/>
    </row>
    <row r="62" spans="2:8">
      <c r="E62" s="82" t="str">
        <f>IF('All Periods'!E62="","",'All Periods'!E62)</f>
        <v>חוב לספק א</v>
      </c>
      <c r="F62" s="96">
        <f>SUMIFS(FlatDataset[Amount (ILS)],FlatDataset[Name],E62,FlatDataset[Date],"&gt;="&amp;C$3,FlatDataset[Date],"&lt;="&amp;C$4)</f>
        <v>10000</v>
      </c>
      <c r="G62" s="91">
        <f>'All Periods'!G62</f>
        <v>0</v>
      </c>
      <c r="H62" s="91"/>
    </row>
    <row r="63" spans="2:8">
      <c r="E63" s="82" t="str">
        <f>IF('All Periods'!E63="","",'All Periods'!E63)</f>
        <v>חוב לספק ב</v>
      </c>
      <c r="F63" s="96">
        <f>SUMIFS(FlatDataset[Amount (ILS)],FlatDataset[Name],E63,FlatDataset[Date],"&gt;="&amp;C$3,FlatDataset[Date],"&lt;="&amp;C$4)</f>
        <v>8740</v>
      </c>
      <c r="G63" s="91">
        <f>'All Periods'!G63</f>
        <v>0</v>
      </c>
      <c r="H63" s="91"/>
    </row>
    <row r="64" spans="2:8">
      <c r="E64" s="82" t="str">
        <f>IF('All Periods'!E64="","",'All Periods'!E64)</f>
        <v>חוב לספק ג</v>
      </c>
      <c r="F64" s="96">
        <f>SUMIFS(FlatDataset[Amount (ILS)],FlatDataset[Name],E64,FlatDataset[Date],"&gt;="&amp;C$3,FlatDataset[Date],"&lt;="&amp;C$4)</f>
        <v>0</v>
      </c>
      <c r="G64" s="91">
        <f>'All Periods'!G64</f>
        <v>0</v>
      </c>
      <c r="H64" s="91"/>
    </row>
    <row r="65" spans="5:8">
      <c r="E65" s="82" t="str">
        <f>IF('All Periods'!E65="","",'All Periods'!E65)</f>
        <v>חוב לספק ד</v>
      </c>
      <c r="F65" s="96">
        <f>SUMIFS(FlatDataset[Amount (ILS)],FlatDataset[Name],E65,FlatDataset[Date],"&gt;="&amp;C$3,FlatDataset[Date],"&lt;="&amp;C$4)</f>
        <v>0</v>
      </c>
      <c r="G65" s="91">
        <f>'All Periods'!G65</f>
        <v>0</v>
      </c>
      <c r="H65" s="91"/>
    </row>
    <row r="66" spans="5:8">
      <c r="E66" s="82" t="str">
        <f>IF('All Periods'!E66="","",'All Periods'!E66)</f>
        <v/>
      </c>
      <c r="F66" s="96">
        <f>SUMIFS(FlatDataset[Amount (ILS)],FlatDataset[Name],E66,FlatDataset[Date],"&gt;="&amp;C$3,FlatDataset[Date],"&lt;="&amp;C$4)</f>
        <v>0</v>
      </c>
      <c r="G66" s="91">
        <f>'All Periods'!G66</f>
        <v>0</v>
      </c>
      <c r="H66" s="91"/>
    </row>
    <row r="67" spans="5:8">
      <c r="E67" s="82" t="str">
        <f>IF('All Periods'!E67="","",'All Periods'!E67)</f>
        <v/>
      </c>
      <c r="F67" s="96">
        <f>SUMIFS(FlatDataset[Amount (ILS)],FlatDataset[Name],E67,FlatDataset[Date],"&gt;="&amp;C$3,FlatDataset[Date],"&lt;="&amp;C$4)</f>
        <v>0</v>
      </c>
      <c r="G67" s="91">
        <f>'All Periods'!G67</f>
        <v>0</v>
      </c>
      <c r="H67" s="91"/>
    </row>
    <row r="68" spans="5:8">
      <c r="E68" s="82" t="str">
        <f>IF('All Periods'!E68="","",'All Periods'!E68)</f>
        <v/>
      </c>
      <c r="F68" s="96">
        <f>SUMIFS(FlatDataset[Amount (ILS)],FlatDataset[Name],E68,FlatDataset[Date],"&gt;="&amp;C$3,FlatDataset[Date],"&lt;="&amp;C$4)</f>
        <v>0</v>
      </c>
      <c r="G68" s="91">
        <f>'All Periods'!G68</f>
        <v>0</v>
      </c>
      <c r="H68" s="91"/>
    </row>
    <row r="69" spans="5:8">
      <c r="E69" s="82" t="str">
        <f>IF('All Periods'!E69="","",'All Periods'!E69)</f>
        <v/>
      </c>
      <c r="F69" s="96">
        <f>SUMIFS(FlatDataset[Amount (ILS)],FlatDataset[Name],E69,FlatDataset[Date],"&gt;="&amp;C$3,FlatDataset[Date],"&lt;="&amp;C$4)</f>
        <v>0</v>
      </c>
      <c r="G69" s="91">
        <f>'All Periods'!G69</f>
        <v>0</v>
      </c>
      <c r="H69" s="91"/>
    </row>
    <row r="70" spans="5:8">
      <c r="E70" s="82" t="str">
        <f>IF('All Periods'!E70="","",'All Periods'!E70)</f>
        <v/>
      </c>
      <c r="F70" s="96">
        <f>SUMIFS(FlatDataset[Amount (ILS)],FlatDataset[Name],E70,FlatDataset[Date],"&gt;="&amp;C$3,FlatDataset[Date],"&lt;="&amp;C$4)</f>
        <v>0</v>
      </c>
      <c r="G70" s="91">
        <f>'All Periods'!G70</f>
        <v>0</v>
      </c>
      <c r="H70" s="91"/>
    </row>
    <row r="71" spans="5:8">
      <c r="E71" s="82" t="str">
        <f>IF('All Periods'!E71="","",'All Periods'!E71)</f>
        <v/>
      </c>
      <c r="F71" s="96">
        <f>SUMIFS(FlatDataset[Amount (ILS)],FlatDataset[Name],E71,FlatDataset[Date],"&gt;="&amp;C$3,FlatDataset[Date],"&lt;="&amp;C$4)</f>
        <v>0</v>
      </c>
      <c r="G71" s="91">
        <f>'All Periods'!G71</f>
        <v>0</v>
      </c>
      <c r="H71" s="91"/>
    </row>
    <row r="72" spans="5:8">
      <c r="E72" s="82" t="str">
        <f>IF('All Periods'!E72="","",'All Periods'!E72)</f>
        <v/>
      </c>
      <c r="F72" s="96">
        <f>SUMIFS(FlatDataset[Amount (ILS)],FlatDataset[Name],E72,FlatDataset[Date],"&gt;="&amp;C$3,FlatDataset[Date],"&lt;="&amp;C$4)</f>
        <v>0</v>
      </c>
      <c r="G72" s="91">
        <f>'All Periods'!G72</f>
        <v>0</v>
      </c>
      <c r="H72" s="91"/>
    </row>
    <row r="73" spans="5:8">
      <c r="E73" s="82" t="str">
        <f>IF('All Periods'!E73="","",'All Periods'!E73)</f>
        <v/>
      </c>
      <c r="F73" s="96">
        <f>SUMIFS(FlatDataset[Amount (ILS)],FlatDataset[Name],E73,FlatDataset[Date],"&gt;="&amp;C$3,FlatDataset[Date],"&lt;="&amp;C$4)</f>
        <v>0</v>
      </c>
      <c r="G73" s="91">
        <f>'All Periods'!G73</f>
        <v>0</v>
      </c>
      <c r="H73" s="91"/>
    </row>
    <row r="74" spans="5:8">
      <c r="E74" s="82" t="str">
        <f>IF('All Periods'!E74="","",'All Periods'!E74)</f>
        <v/>
      </c>
      <c r="F74" s="96">
        <f>SUMIFS(FlatDataset[Amount (ILS)],FlatDataset[Name],E74,FlatDataset[Date],"&gt;="&amp;C$3,FlatDataset[Date],"&lt;="&amp;C$4)</f>
        <v>0</v>
      </c>
      <c r="G74" s="91">
        <f>'All Periods'!G74</f>
        <v>0</v>
      </c>
      <c r="H74" s="91"/>
    </row>
    <row r="75" spans="5:8">
      <c r="E75" s="82" t="str">
        <f>IF('All Periods'!E75="","",'All Periods'!E75)</f>
        <v/>
      </c>
      <c r="F75" s="96">
        <f>SUMIFS(FlatDataset[Amount (ILS)],FlatDataset[Name],E75,FlatDataset[Date],"&gt;="&amp;C$3,FlatDataset[Date],"&lt;="&amp;C$4)</f>
        <v>0</v>
      </c>
      <c r="G75" s="91">
        <f>'All Periods'!G75</f>
        <v>0</v>
      </c>
      <c r="H75" s="91"/>
    </row>
    <row r="76" spans="5:8">
      <c r="E76" s="82" t="str">
        <f>IF('All Periods'!E76="","",'All Periods'!E76)</f>
        <v/>
      </c>
      <c r="F76" s="96">
        <f>SUMIFS(FlatDataset[Amount (ILS)],FlatDataset[Name],E76,FlatDataset[Date],"&gt;="&amp;C$3,FlatDataset[Date],"&lt;="&amp;C$4)</f>
        <v>0</v>
      </c>
      <c r="G76" s="91">
        <f>'All Periods'!G76</f>
        <v>0</v>
      </c>
    </row>
    <row r="77" spans="5:8">
      <c r="E77" s="82" t="str">
        <f>IF('All Periods'!E77="","",'All Periods'!E77)</f>
        <v/>
      </c>
      <c r="F77" s="96">
        <f>SUMIFS(FlatDataset[Amount (ILS)],FlatDataset[Name],E77,FlatDataset[Date],"&gt;="&amp;C$3,FlatDataset[Date],"&lt;="&amp;C$4)</f>
        <v>0</v>
      </c>
      <c r="G77" s="91">
        <f>'All Periods'!G77</f>
        <v>0</v>
      </c>
    </row>
    <row r="78" spans="5:8">
      <c r="E78" s="82" t="str">
        <f>IF('All Periods'!E78="","",'All Periods'!E78)</f>
        <v/>
      </c>
      <c r="F78" s="96">
        <f>SUMIFS(FlatDataset[Amount (ILS)],FlatDataset[Name],E78,FlatDataset[Date],"&gt;="&amp;C$3,FlatDataset[Date],"&lt;="&amp;C$4)</f>
        <v>0</v>
      </c>
      <c r="G78" s="91">
        <f>'All Periods'!G78</f>
        <v>0</v>
      </c>
    </row>
    <row r="79" spans="5:8">
      <c r="E79" s="82" t="str">
        <f>IF('All Periods'!E79="","",'All Periods'!E79)</f>
        <v/>
      </c>
      <c r="F79" s="96">
        <f>SUMIFS(FlatDataset[Amount (ILS)],FlatDataset[Name],E79,FlatDataset[Date],"&gt;="&amp;C$3,FlatDataset[Date],"&lt;="&amp;C$4)</f>
        <v>0</v>
      </c>
      <c r="G79" s="91">
        <f>'All Periods'!G79</f>
        <v>0</v>
      </c>
      <c r="H79" s="91"/>
    </row>
    <row r="80" spans="5:8">
      <c r="E80" s="82" t="str">
        <f>IF('All Periods'!E80="","",'All Periods'!E80)</f>
        <v/>
      </c>
      <c r="F80" s="96">
        <f>SUMIFS(FlatDataset[Amount (ILS)],FlatDataset[Name],E80,FlatDataset[Date],"&gt;="&amp;C$3,FlatDataset[Date],"&lt;="&amp;C$4)</f>
        <v>0</v>
      </c>
      <c r="G80" s="91">
        <f>'All Periods'!G80</f>
        <v>0</v>
      </c>
      <c r="H80" s="91"/>
    </row>
    <row r="81" spans="2:8">
      <c r="E81" s="82" t="str">
        <f>IF('All Periods'!E81="","",'All Periods'!E81)</f>
        <v/>
      </c>
      <c r="F81" s="96">
        <f>SUMIFS(FlatDataset[Amount (ILS)],FlatDataset[Name],E81,FlatDataset[Date],"&gt;="&amp;C$3,FlatDataset[Date],"&lt;="&amp;C$4)</f>
        <v>0</v>
      </c>
      <c r="G81" s="91">
        <f>'All Periods'!G81</f>
        <v>0</v>
      </c>
      <c r="H81" s="91"/>
    </row>
    <row r="82" spans="2:8">
      <c r="E82" s="82" t="str">
        <f>IF('All Periods'!E82="","",'All Periods'!E82)</f>
        <v/>
      </c>
      <c r="F82" s="96">
        <f>SUMIFS(FlatDataset[Amount (ILS)],FlatDataset[Name],E82,FlatDataset[Date],"&gt;="&amp;C$3,FlatDataset[Date],"&lt;="&amp;C$4)</f>
        <v>0</v>
      </c>
      <c r="G82" s="91">
        <f>'All Periods'!G82</f>
        <v>0</v>
      </c>
      <c r="H82" s="91"/>
    </row>
    <row r="83" spans="2:8">
      <c r="E83" s="82" t="str">
        <f>IF('All Periods'!E83="","",'All Periods'!E83)</f>
        <v/>
      </c>
      <c r="F83" s="96">
        <f>SUMIFS(FlatDataset[Amount (ILS)],FlatDataset[Name],E83,FlatDataset[Date],"&gt;="&amp;C$3,FlatDataset[Date],"&lt;="&amp;C$4)</f>
        <v>0</v>
      </c>
      <c r="G83" s="91">
        <f>'All Periods'!G83</f>
        <v>0</v>
      </c>
      <c r="H83" s="91"/>
    </row>
    <row r="84" spans="2:8">
      <c r="B84" s="15"/>
      <c r="C84" s="108"/>
      <c r="E84" s="82" t="str">
        <f>IF('All Periods'!E84="","",'All Periods'!E84)</f>
        <v/>
      </c>
      <c r="F84" s="96">
        <f>SUMIFS(FlatDataset[Amount (ILS)],FlatDataset[Name],E84,FlatDataset[Date],"&gt;="&amp;C$3,FlatDataset[Date],"&lt;="&amp;C$4)</f>
        <v>0</v>
      </c>
      <c r="G84" s="91">
        <f>'All Periods'!G84</f>
        <v>0</v>
      </c>
      <c r="H84" s="91"/>
    </row>
    <row r="85" spans="2:8">
      <c r="B85" s="15"/>
      <c r="C85" s="108"/>
      <c r="E85" s="82" t="str">
        <f>IF('All Periods'!E85="","",'All Periods'!E85)</f>
        <v/>
      </c>
      <c r="F85" s="96">
        <f>SUMIFS(FlatDataset[Amount (ILS)],FlatDataset[Name],E85,FlatDataset[Date],"&gt;="&amp;C$3,FlatDataset[Date],"&lt;="&amp;C$4)</f>
        <v>0</v>
      </c>
      <c r="G85" s="91">
        <f>'All Periods'!G85</f>
        <v>0</v>
      </c>
      <c r="H85" s="91"/>
    </row>
    <row r="86" spans="2:8">
      <c r="B86" s="15"/>
      <c r="C86" s="15"/>
      <c r="E86" s="82" t="str">
        <f>IF('All Periods'!E86="","",'All Periods'!E86)</f>
        <v/>
      </c>
      <c r="F86" s="96">
        <f>SUMIFS(FlatDataset[Amount (ILS)],FlatDataset[Name],E86,FlatDataset[Date],"&gt;="&amp;C$3,FlatDataset[Date],"&lt;="&amp;C$4)</f>
        <v>0</v>
      </c>
      <c r="G86" s="91">
        <f>'All Periods'!G86</f>
        <v>0</v>
      </c>
      <c r="H86" s="91"/>
    </row>
    <row r="87" spans="2:8">
      <c r="B87" s="15"/>
      <c r="C87" s="62"/>
      <c r="E87" s="82" t="str">
        <f>IF('All Periods'!E87="","",'All Periods'!E87)</f>
        <v/>
      </c>
      <c r="F87" s="96">
        <f>SUMIFS(FlatDataset[Amount (ILS)],FlatDataset[Name],E87,FlatDataset[Date],"&gt;="&amp;C$3,FlatDataset[Date],"&lt;="&amp;C$4)</f>
        <v>0</v>
      </c>
      <c r="G87" s="91">
        <f>'All Periods'!G87</f>
        <v>0</v>
      </c>
      <c r="H87" s="91"/>
    </row>
    <row r="88" spans="2:8">
      <c r="B88" s="41"/>
      <c r="C88" s="125"/>
      <c r="E88" s="82" t="str">
        <f>IF('All Periods'!E88="","",'All Periods'!E88)</f>
        <v/>
      </c>
      <c r="F88" s="96">
        <f>SUMIFS(FlatDataset[Amount (ILS)],FlatDataset[Name],E88,FlatDataset[Date],"&gt;="&amp;C$3,FlatDataset[Date],"&lt;="&amp;C$4)</f>
        <v>0</v>
      </c>
      <c r="G88" s="91">
        <f>'All Periods'!G88</f>
        <v>0</v>
      </c>
      <c r="H88" s="91"/>
    </row>
    <row r="89" spans="2:8">
      <c r="C89" s="103"/>
      <c r="E89" s="82" t="str">
        <f>IF('All Periods'!E89="","",'All Periods'!E89)</f>
        <v/>
      </c>
      <c r="F89" s="96">
        <f>SUMIFS(FlatDataset[Amount (ILS)],FlatDataset[Name],E89,FlatDataset[Date],"&gt;="&amp;C$3,FlatDataset[Date],"&lt;="&amp;C$4)</f>
        <v>0</v>
      </c>
      <c r="G89" s="91">
        <f>'All Periods'!G89</f>
        <v>0</v>
      </c>
      <c r="H89" s="91"/>
    </row>
    <row r="90" spans="2:8">
      <c r="E90" s="82" t="str">
        <f>IF('All Periods'!E90="","",'All Periods'!E90)</f>
        <v/>
      </c>
      <c r="F90" s="96">
        <f>SUMIFS(FlatDataset[Amount (ILS)],FlatDataset[Name],E90,FlatDataset[Date],"&gt;="&amp;C$3,FlatDataset[Date],"&lt;="&amp;C$4)</f>
        <v>0</v>
      </c>
      <c r="G90" s="91">
        <f>'All Periods'!G90</f>
        <v>0</v>
      </c>
      <c r="H90" s="91"/>
    </row>
    <row r="91" spans="2:8">
      <c r="E91" s="82" t="str">
        <f>IF('All Periods'!E91="","",'All Periods'!E91)</f>
        <v/>
      </c>
      <c r="F91" s="96">
        <f>SUMIFS(FlatDataset[Amount (ILS)],FlatDataset[Name],E91,FlatDataset[Date],"&gt;="&amp;C$3,FlatDataset[Date],"&lt;="&amp;C$4)</f>
        <v>0</v>
      </c>
      <c r="G91" s="91">
        <f>'All Periods'!G91</f>
        <v>0</v>
      </c>
      <c r="H91" s="91"/>
    </row>
    <row r="92" spans="2:8">
      <c r="E92" s="82" t="str">
        <f>IF('All Periods'!E92="","",'All Periods'!E92)</f>
        <v/>
      </c>
      <c r="F92" s="96">
        <f>SUMIFS(FlatDataset[Amount (ILS)],FlatDataset[Name],E92,FlatDataset[Date],"&gt;="&amp;C$3,FlatDataset[Date],"&lt;="&amp;C$4)</f>
        <v>0</v>
      </c>
      <c r="G92" s="91">
        <f>'All Periods'!G92</f>
        <v>0</v>
      </c>
      <c r="H92" s="91"/>
    </row>
    <row r="93" spans="2:8">
      <c r="E93" s="82" t="str">
        <f>IF('All Periods'!E93="","",'All Periods'!E93)</f>
        <v/>
      </c>
      <c r="F93" s="96">
        <f>SUMIFS(FlatDataset[Amount (ILS)],FlatDataset[Name],E93,FlatDataset[Date],"&gt;="&amp;C$3,FlatDataset[Date],"&lt;="&amp;C$4)</f>
        <v>0</v>
      </c>
      <c r="G93" s="91">
        <f>'All Periods'!G93</f>
        <v>0</v>
      </c>
      <c r="H93" s="91"/>
    </row>
    <row r="94" spans="2:8">
      <c r="E94" s="82" t="str">
        <f>IF('All Periods'!E94="","",'All Periods'!E94)</f>
        <v/>
      </c>
      <c r="F94" s="96">
        <f>SUMIFS(FlatDataset[Amount (ILS)],FlatDataset[Name],E94,FlatDataset[Date],"&gt;="&amp;C$3,FlatDataset[Date],"&lt;="&amp;C$4)</f>
        <v>0</v>
      </c>
      <c r="G94" s="91">
        <f>'All Periods'!G94</f>
        <v>0</v>
      </c>
      <c r="H94" s="91"/>
    </row>
    <row r="95" spans="2:8">
      <c r="D95" s="81"/>
      <c r="E95" s="82" t="str">
        <f>IF('All Periods'!E95="","",'All Periods'!E95)</f>
        <v/>
      </c>
      <c r="F95" s="96">
        <f>SUMIFS(FlatDataset[Amount (ILS)],FlatDataset[Name],E95,FlatDataset[Date],"&gt;="&amp;C$3,FlatDataset[Date],"&lt;="&amp;C$4)</f>
        <v>0</v>
      </c>
      <c r="G95" s="91">
        <f>'All Periods'!G95</f>
        <v>0</v>
      </c>
      <c r="H95" s="91"/>
    </row>
    <row r="96" spans="2:8">
      <c r="C96" s="96"/>
      <c r="E96" s="82" t="str">
        <f>IF('All Periods'!E96="","",'All Periods'!E96)</f>
        <v/>
      </c>
      <c r="F96" s="96">
        <f>SUMIFS(FlatDataset[Amount (ILS)],FlatDataset[Name],E96,FlatDataset[Date],"&gt;="&amp;C$3,FlatDataset[Date],"&lt;="&amp;C$4)</f>
        <v>0</v>
      </c>
      <c r="G96" s="91">
        <f>'All Periods'!G96</f>
        <v>0</v>
      </c>
      <c r="H96" s="91"/>
    </row>
    <row r="97" spans="2:8">
      <c r="E97" s="82" t="str">
        <f>IF('All Periods'!E97="","",'All Periods'!E97)</f>
        <v/>
      </c>
      <c r="F97" s="96">
        <f>SUMIFS(FlatDataset[Amount (ILS)],FlatDataset[Name],E97,FlatDataset[Date],"&gt;="&amp;C$3,FlatDataset[Date],"&lt;="&amp;C$4)</f>
        <v>0</v>
      </c>
      <c r="G97" s="91">
        <f>'All Periods'!G97</f>
        <v>0</v>
      </c>
      <c r="H97" s="91"/>
    </row>
    <row r="98" spans="2:8">
      <c r="C98" s="96"/>
      <c r="E98" s="82" t="str">
        <f>IF('All Periods'!E98="","",'All Periods'!E98)</f>
        <v/>
      </c>
      <c r="F98" s="96">
        <f>SUMIFS(FlatDataset[Amount (ILS)],FlatDataset[Name],E98,FlatDataset[Date],"&gt;="&amp;C$3,FlatDataset[Date],"&lt;="&amp;C$4)</f>
        <v>0</v>
      </c>
      <c r="G98" s="91">
        <f>'All Periods'!G98</f>
        <v>0</v>
      </c>
      <c r="H98" s="91"/>
    </row>
    <row r="99" spans="2:8">
      <c r="C99" s="96"/>
      <c r="E99" s="82" t="str">
        <f>IF('All Periods'!E99="","",'All Periods'!E99)</f>
        <v/>
      </c>
      <c r="F99" s="96">
        <f>SUMIFS(FlatDataset[Amount (ILS)],FlatDataset[Name],E99,FlatDataset[Date],"&gt;="&amp;C$3,FlatDataset[Date],"&lt;="&amp;C$4)</f>
        <v>0</v>
      </c>
      <c r="G99" s="91">
        <f>'All Periods'!G99</f>
        <v>0</v>
      </c>
      <c r="H99" s="91"/>
    </row>
    <row r="100" spans="2:8">
      <c r="B100" s="26"/>
      <c r="C100" s="126"/>
      <c r="E100" s="82" t="str">
        <f>IF('All Periods'!E100="","",'All Periods'!E100)</f>
        <v/>
      </c>
      <c r="F100" s="96">
        <f>SUMIFS(FlatDataset[Amount (ILS)],FlatDataset[Name],E100,FlatDataset[Date],"&gt;="&amp;C$3,FlatDataset[Date],"&lt;="&amp;C$4)</f>
        <v>0</v>
      </c>
      <c r="G100" s="91">
        <f>'All Periods'!G100</f>
        <v>0</v>
      </c>
      <c r="H100" s="91"/>
    </row>
    <row r="101" spans="2:8">
      <c r="C101" s="96"/>
      <c r="E101" s="82" t="str">
        <f>IF('All Periods'!E101="","",'All Periods'!E101)</f>
        <v/>
      </c>
      <c r="F101" s="96">
        <f>SUMIFS(FlatDataset[Amount (ILS)],FlatDataset[Name],E101,FlatDataset[Date],"&gt;="&amp;C$3,FlatDataset[Date],"&lt;="&amp;C$4)</f>
        <v>0</v>
      </c>
      <c r="G101" s="91">
        <f>'All Periods'!G101</f>
        <v>0</v>
      </c>
      <c r="H101" s="91"/>
    </row>
    <row r="102" spans="2:8">
      <c r="B102" s="26"/>
      <c r="C102" s="126"/>
      <c r="E102" s="82" t="str">
        <f>IF('All Periods'!E102="","",'All Periods'!E102)</f>
        <v/>
      </c>
      <c r="F102" s="96">
        <f>SUMIFS(FlatDataset[Amount (ILS)],FlatDataset[Name],E102,FlatDataset[Date],"&gt;="&amp;C$3,FlatDataset[Date],"&lt;="&amp;C$4)</f>
        <v>0</v>
      </c>
      <c r="G102" s="91">
        <f>'All Periods'!G102</f>
        <v>0</v>
      </c>
      <c r="H102" s="91"/>
    </row>
    <row r="103" spans="2:8">
      <c r="C103" s="96"/>
      <c r="E103" s="82" t="str">
        <f>IF('All Periods'!E103="","",'All Periods'!E103)</f>
        <v/>
      </c>
      <c r="F103" s="96">
        <f>SUMIFS(FlatDataset[Amount (ILS)],FlatDataset[Name],E103,FlatDataset[Date],"&gt;="&amp;C$3,FlatDataset[Date],"&lt;="&amp;C$4)</f>
        <v>0</v>
      </c>
      <c r="G103" s="91">
        <f>'All Periods'!G103</f>
        <v>0</v>
      </c>
      <c r="H103" s="91"/>
    </row>
    <row r="104" spans="2:8">
      <c r="C104" s="96"/>
      <c r="E104" s="82" t="str">
        <f>IF('All Periods'!E104="","",'All Periods'!E104)</f>
        <v/>
      </c>
      <c r="F104" s="96">
        <f>SUMIFS(FlatDataset[Amount (ILS)],FlatDataset[Name],E104,FlatDataset[Date],"&gt;="&amp;C$3,FlatDataset[Date],"&lt;="&amp;C$4)</f>
        <v>0</v>
      </c>
      <c r="G104" s="91">
        <f>'All Periods'!G104</f>
        <v>0</v>
      </c>
    </row>
    <row r="105" spans="2:8">
      <c r="E105" s="82" t="str">
        <f>IF('All Periods'!E105="","",'All Periods'!E105)</f>
        <v/>
      </c>
      <c r="F105" s="96">
        <f>SUMIFS(FlatDataset[Amount (ILS)],FlatDataset[Name],E105,FlatDataset[Date],"&gt;="&amp;C$3,FlatDataset[Date],"&lt;="&amp;C$4)</f>
        <v>0</v>
      </c>
      <c r="G105" s="91">
        <f>'All Periods'!G105</f>
        <v>0</v>
      </c>
    </row>
    <row r="106" spans="2:8">
      <c r="E106" s="82" t="str">
        <f>IF('All Periods'!E106="","",'All Periods'!E106)</f>
        <v/>
      </c>
      <c r="F106" s="96">
        <f>SUMIFS(FlatDataset[Amount (ILS)],FlatDataset[Name],E106,FlatDataset[Date],"&gt;="&amp;C$3,FlatDataset[Date],"&lt;="&amp;C$4)</f>
        <v>0</v>
      </c>
      <c r="G106" s="91">
        <f>'All Periods'!G106</f>
        <v>0</v>
      </c>
    </row>
    <row r="107" spans="2:8">
      <c r="E107" s="82" t="str">
        <f>IF('All Periods'!E107="","",'All Periods'!E107)</f>
        <v/>
      </c>
      <c r="F107" s="96">
        <f>SUMIFS(FlatDataset[Amount (ILS)],FlatDataset[Name],E107,FlatDataset[Date],"&gt;="&amp;C$3,FlatDataset[Date],"&lt;="&amp;C$4)</f>
        <v>0</v>
      </c>
      <c r="G107" s="91">
        <f>'All Periods'!G107</f>
        <v>0</v>
      </c>
    </row>
    <row r="108" spans="2:8">
      <c r="E108" s="82" t="str">
        <f>IF('All Periods'!E108="","",'All Periods'!E108)</f>
        <v/>
      </c>
      <c r="F108" s="96">
        <f>SUMIFS(FlatDataset[Amount (ILS)],FlatDataset[Name],E108,FlatDataset[Date],"&gt;="&amp;C$3,FlatDataset[Date],"&lt;="&amp;C$4)</f>
        <v>0</v>
      </c>
      <c r="G108" s="91">
        <f>'All Periods'!G108</f>
        <v>0</v>
      </c>
    </row>
    <row r="109" spans="2:8">
      <c r="E109" s="82" t="str">
        <f>IF('All Periods'!E109="","",'All Periods'!E109)</f>
        <v/>
      </c>
      <c r="F109" s="96">
        <f>SUMIFS(FlatDataset[Amount (ILS)],FlatDataset[Name],E109,FlatDataset[Date],"&gt;="&amp;C$3,FlatDataset[Date],"&lt;="&amp;C$4)</f>
        <v>0</v>
      </c>
      <c r="G109" s="91">
        <f>'All Periods'!G109</f>
        <v>0</v>
      </c>
    </row>
    <row r="110" spans="2:8">
      <c r="E110" s="82" t="str">
        <f>IF('All Periods'!E110="","",'All Periods'!E110)</f>
        <v/>
      </c>
      <c r="F110" s="96">
        <f>SUMIFS(FlatDataset[Amount (ILS)],FlatDataset[Name],E110,FlatDataset[Date],"&gt;="&amp;C$3,FlatDataset[Date],"&lt;="&amp;C$4)</f>
        <v>0</v>
      </c>
      <c r="G110" s="91">
        <f>'All Periods'!G110</f>
        <v>0</v>
      </c>
    </row>
    <row r="111" spans="2:8">
      <c r="E111" s="82" t="str">
        <f>IF('All Periods'!E111="","",'All Periods'!E111)</f>
        <v/>
      </c>
      <c r="F111" s="96">
        <f>SUMIFS(FlatDataset[Amount (ILS)],FlatDataset[Name],E111,FlatDataset[Date],"&gt;="&amp;C$3,FlatDataset[Date],"&lt;="&amp;C$4)</f>
        <v>0</v>
      </c>
      <c r="G111" s="91">
        <f>'All Periods'!G111</f>
        <v>0</v>
      </c>
    </row>
    <row r="112" spans="2:8">
      <c r="E112" s="82" t="str">
        <f>IF('All Periods'!E112="","",'All Periods'!E112)</f>
        <v/>
      </c>
      <c r="F112" s="96">
        <f>SUMIFS(FlatDataset[Amount (ILS)],FlatDataset[Name],E112,FlatDataset[Date],"&gt;="&amp;C$3,FlatDataset[Date],"&lt;="&amp;C$4)</f>
        <v>0</v>
      </c>
      <c r="G112" s="91">
        <f>'All Periods'!G112</f>
        <v>0</v>
      </c>
    </row>
    <row r="113" spans="5:6">
      <c r="F113" s="96"/>
    </row>
    <row r="115" spans="5:6">
      <c r="E115" s="117" t="s">
        <v>40</v>
      </c>
      <c r="F115" s="96"/>
    </row>
    <row r="116" spans="5:6">
      <c r="F116" s="96"/>
    </row>
    <row r="117" spans="5:6">
      <c r="E117" s="82" t="s">
        <v>55</v>
      </c>
      <c r="F117" s="96">
        <f>SUMIFS(FlatDataset[Amount (ILS)],FlatDataset[Payment method],E117,FlatDataset[Date],"&gt;="&amp;C$3,FlatDataset[Date],"&lt;="&amp;$C$4)</f>
        <v>0</v>
      </c>
    </row>
    <row r="118" spans="5:6">
      <c r="E118" s="82" t="s">
        <v>58</v>
      </c>
      <c r="F118" s="96">
        <f>SUMIFS(FlatDataset[Amount (ILS)],FlatDataset[Payment method],E118,FlatDataset[Date],"&gt;="&amp;C$3,FlatDataset[Date],"&lt;="&amp;$C$4)</f>
        <v>7850</v>
      </c>
    </row>
    <row r="119" spans="5:6">
      <c r="E119" s="82"/>
    </row>
    <row r="121" spans="5:6">
      <c r="E121" s="77" t="s">
        <v>59</v>
      </c>
    </row>
    <row r="122" spans="5:6">
      <c r="E122" s="82" t="str">
        <f>'All Periods'!E126</f>
        <v>מעמ אירופה</v>
      </c>
      <c r="F122" s="96">
        <f>SUMIFS(FlatDataset[Amount (ILS)],FlatDataset[Name],E122,FlatDataset[Date],"&gt;="&amp;C$3,FlatDataset[Date],"&lt;="&amp;C$4)</f>
        <v>4370</v>
      </c>
    </row>
    <row r="123" spans="5:6">
      <c r="E123" s="82">
        <f>'All Periods'!E127</f>
        <v>0</v>
      </c>
      <c r="F123" s="96">
        <f>SUMIFS(FlatDataset[Amount (ILS)],FlatDataset[Name],E123,FlatDataset[Date],"&gt;="&amp;C$3,FlatDataset[Date],"&lt;="&amp;C$4)</f>
        <v>0</v>
      </c>
    </row>
    <row r="124" spans="5:6">
      <c r="E124" s="14">
        <f>'All Periods'!E128</f>
        <v>0</v>
      </c>
      <c r="F124" s="96">
        <f>SUMIFS(FlatDataset[Amount (ILS)],FlatDataset[Name],E124,FlatDataset[Date],"&gt;="&amp;C$3,FlatDataset[Date],"&lt;="&amp;C$4)</f>
        <v>0</v>
      </c>
    </row>
    <row r="125" spans="5:6">
      <c r="E125" s="79">
        <f>'All Periods'!E129</f>
        <v>0</v>
      </c>
      <c r="F125" s="96">
        <f>SUMIFS(FlatDataset[Amount (ILS)],FlatDataset[Name],E125,FlatDataset[Date],"&gt;="&amp;C$3,FlatDataset[Date],"&lt;="&amp;C$4)</f>
        <v>0</v>
      </c>
    </row>
    <row r="126" spans="5:6">
      <c r="E126" s="82">
        <f>'All Periods'!E130</f>
        <v>0</v>
      </c>
      <c r="F126" s="96">
        <f>SUMIFS(FlatDataset[Amount (ILS)],FlatDataset[Name],E126,FlatDataset[Date],"&gt;="&amp;C$3,FlatDataset[Date],"&lt;="&amp;C$4)</f>
        <v>0</v>
      </c>
    </row>
    <row r="127" spans="5:6">
      <c r="E127" s="82">
        <f>'All Periods'!E131</f>
        <v>0</v>
      </c>
      <c r="F127" s="96">
        <f>SUMIFS(FlatDataset[Amount (ILS)],FlatDataset[Name],E127,FlatDataset[Date],"&gt;="&amp;C$3,FlatDataset[Date],"&lt;="&amp;C$4)</f>
        <v>0</v>
      </c>
    </row>
    <row r="128" spans="5:6">
      <c r="E128" s="82">
        <f>'All Periods'!E132</f>
        <v>0</v>
      </c>
      <c r="F128" s="96">
        <f>SUMIFS(FlatDataset[Amount (ILS)],FlatDataset[Name],E128,FlatDataset[Date],"&gt;="&amp;C$3,FlatDataset[Date],"&lt;="&amp;C$4)</f>
        <v>0</v>
      </c>
    </row>
    <row r="129" spans="2:6">
      <c r="E129" s="82">
        <f>'All Periods'!E133</f>
        <v>0</v>
      </c>
      <c r="F129" s="96">
        <f>SUMIFS(FlatDataset[Amount (ILS)],FlatDataset[Name],E129,FlatDataset[Date],"&gt;="&amp;C$3,FlatDataset[Date],"&lt;="&amp;C$4)</f>
        <v>0</v>
      </c>
    </row>
    <row r="130" spans="2:6">
      <c r="E130" s="82">
        <f>'All Periods'!E134</f>
        <v>0</v>
      </c>
      <c r="F130" s="96">
        <f>SUMIFS(FlatDataset[Amount (ILS)],FlatDataset[Name],E130,FlatDataset[Date],"&gt;="&amp;C$3,FlatDataset[Date],"&lt;="&amp;C$4)</f>
        <v>0</v>
      </c>
    </row>
    <row r="133" spans="2:6">
      <c r="F133" s="96"/>
    </row>
    <row r="134" spans="2:6">
      <c r="F134" s="96"/>
    </row>
    <row r="135" spans="2:6" ht="15.75" thickBot="1">
      <c r="B135" s="127" t="s">
        <v>42</v>
      </c>
      <c r="C135" s="121">
        <f>SUM(C42,C45,C46,C51,C53)</f>
        <v>-216840</v>
      </c>
      <c r="E135" s="127" t="s">
        <v>30</v>
      </c>
      <c r="F135" s="121">
        <f>SUM(F37:F134)-SUMIF(G37:G134,"x",F37:F134)+F31+F23</f>
        <v>269420</v>
      </c>
    </row>
    <row r="139" spans="2:6" ht="15.75" thickBot="1">
      <c r="B139" s="115" t="s">
        <v>43</v>
      </c>
      <c r="C139" s="116">
        <f>SUM(C135,-F135)</f>
        <v>-486260</v>
      </c>
    </row>
    <row r="140" spans="2:6" ht="15.75" thickTop="1"/>
  </sheetData>
  <conditionalFormatting sqref="C84">
    <cfRule type="cellIs" dxfId="43" priority="27" operator="lessThan">
      <formula>0</formula>
    </cfRule>
    <cfRule type="cellIs" dxfId="42" priority="28" operator="greaterThan">
      <formula>0</formula>
    </cfRule>
  </conditionalFormatting>
  <conditionalFormatting sqref="C139">
    <cfRule type="cellIs" dxfId="41" priority="24" operator="lessThan">
      <formula>0</formula>
    </cfRule>
    <cfRule type="cellIs" dxfId="40" priority="25" operator="greaterThan">
      <formula>0</formula>
    </cfRule>
  </conditionalFormatting>
  <conditionalFormatting sqref="C88">
    <cfRule type="cellIs" dxfId="39" priority="22" operator="lessThan">
      <formula>0</formula>
    </cfRule>
    <cfRule type="cellIs" dxfId="38" priority="23" operator="greaterThan">
      <formula>0</formula>
    </cfRule>
  </conditionalFormatting>
  <conditionalFormatting sqref="C33">
    <cfRule type="cellIs" dxfId="37" priority="8" operator="lessThan">
      <formula>0</formula>
    </cfRule>
    <cfRule type="cellIs" dxfId="36" priority="9" operator="greaterThan">
      <formula>0</formula>
    </cfRule>
  </conditionalFormatting>
  <conditionalFormatting sqref="E46">
    <cfRule type="duplicateValues" dxfId="35" priority="3"/>
  </conditionalFormatting>
  <conditionalFormatting sqref="E61">
    <cfRule type="duplicateValues" dxfId="34" priority="2"/>
  </conditionalFormatting>
  <conditionalFormatting sqref="E125">
    <cfRule type="duplicateValues" dxfId="33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3:K140"/>
  <sheetViews>
    <sheetView showGridLines="0" rightToLeft="1" zoomScale="90" zoomScaleNormal="90" workbookViewId="0"/>
  </sheetViews>
  <sheetFormatPr defaultColWidth="9.140625" defaultRowHeight="15"/>
  <cols>
    <col min="1" max="1" width="5.85546875" style="14" customWidth="1"/>
    <col min="2" max="2" width="28.42578125" style="14" customWidth="1"/>
    <col min="3" max="3" width="13.7109375" style="14" customWidth="1"/>
    <col min="4" max="4" width="6.28515625" style="82" customWidth="1"/>
    <col min="5" max="5" width="36.42578125" style="14" customWidth="1"/>
    <col min="6" max="6" width="13" style="29" customWidth="1"/>
    <col min="7" max="7" width="4.7109375" style="91" customWidth="1"/>
    <col min="8" max="8" width="3.28515625" style="14" customWidth="1"/>
    <col min="9" max="10" width="13.7109375" style="82" customWidth="1"/>
    <col min="11" max="13" width="13.7109375" style="14" customWidth="1"/>
    <col min="14" max="16384" width="9.140625" style="14"/>
  </cols>
  <sheetData>
    <row r="3" spans="1:11">
      <c r="B3" s="14" t="s">
        <v>24</v>
      </c>
      <c r="C3" s="129">
        <f>Forecast4!C4+1</f>
        <v>42156</v>
      </c>
    </row>
    <row r="4" spans="1:11">
      <c r="B4" s="14" t="s">
        <v>25</v>
      </c>
      <c r="C4" s="93">
        <v>42185</v>
      </c>
    </row>
    <row r="5" spans="1:11">
      <c r="I5" s="95"/>
      <c r="J5" s="95"/>
      <c r="K5" s="24"/>
    </row>
    <row r="8" spans="1:11">
      <c r="C8" s="96"/>
      <c r="F8" s="96"/>
      <c r="H8" s="91"/>
    </row>
    <row r="9" spans="1:11">
      <c r="B9" s="97" t="s">
        <v>35</v>
      </c>
      <c r="C9" s="98"/>
      <c r="D9" s="84"/>
      <c r="E9" s="99" t="s">
        <v>19</v>
      </c>
      <c r="F9" s="100"/>
      <c r="G9" s="101"/>
      <c r="H9" s="101"/>
    </row>
    <row r="10" spans="1:11">
      <c r="B10" s="102"/>
      <c r="C10" s="103"/>
      <c r="D10" s="83"/>
      <c r="E10" s="102"/>
      <c r="F10" s="103"/>
      <c r="G10" s="104"/>
      <c r="H10" s="104"/>
    </row>
    <row r="11" spans="1:11">
      <c r="A11" s="24"/>
      <c r="B11" s="46" t="s">
        <v>5</v>
      </c>
      <c r="C11" s="105"/>
      <c r="D11" s="83"/>
      <c r="E11" s="106" t="s">
        <v>63</v>
      </c>
      <c r="F11" s="107"/>
      <c r="G11" s="104"/>
      <c r="H11" s="104"/>
    </row>
    <row r="12" spans="1:11">
      <c r="B12" s="14" t="str">
        <f>'All Periods'!B21</f>
        <v>הזרמה 4</v>
      </c>
      <c r="C12" s="108">
        <f>'All Periods'!C21</f>
        <v>0</v>
      </c>
      <c r="E12" s="82" t="str">
        <f>IF('All Periods'!E12="","",'All Periods'!E12)</f>
        <v>הלוואות - דיסקונט</v>
      </c>
      <c r="F12" s="96">
        <f>SUMIFS(FlatDataset[Amount (ILS)],FlatDataset[Payment method],E12,FlatDataset[Date],"&gt;="&amp;C$3,FlatDataset[Date],"&lt;="&amp;$C$4)</f>
        <v>11000</v>
      </c>
      <c r="H12" s="91"/>
    </row>
    <row r="13" spans="1:11">
      <c r="B13" s="15" t="s">
        <v>84</v>
      </c>
      <c r="C13" s="96">
        <f>Forecast4!C139</f>
        <v>-486260</v>
      </c>
      <c r="E13" s="82" t="str">
        <f>IF('All Periods'!E13="","",'All Periods'!E13)</f>
        <v>צ'ק - דיסקונט</v>
      </c>
      <c r="F13" s="96">
        <f>SUMIFS(FlatDataset[Amount (ILS)],FlatDataset[Payment method],E13,FlatDataset[Date],"&gt;="&amp;C$3,FlatDataset[Date],"&lt;="&amp;$C$4)</f>
        <v>4500</v>
      </c>
      <c r="H13" s="91"/>
    </row>
    <row r="14" spans="1:11">
      <c r="B14" s="76"/>
      <c r="C14" s="103"/>
      <c r="E14" s="82" t="str">
        <f>IF('All Periods'!E14="","",'All Periods'!E14)</f>
        <v/>
      </c>
      <c r="F14" s="96">
        <f>SUMIFS(FlatDataset[Amount (ILS)],FlatDataset[Payment method],E14,FlatDataset[Date],"&gt;="&amp;C$3,FlatDataset[Date],"&lt;="&amp;$C$4)</f>
        <v>0</v>
      </c>
      <c r="H14" s="91"/>
    </row>
    <row r="15" spans="1:11">
      <c r="B15" s="76"/>
      <c r="C15" s="103"/>
      <c r="E15" s="82" t="str">
        <f>IF('All Periods'!E15="","",'All Periods'!E15)</f>
        <v/>
      </c>
      <c r="F15" s="96">
        <f>SUMIFS(FlatDataset[Amount (ILS)],FlatDataset[Payment method],E15,FlatDataset[Date],"&gt;="&amp;C$3,FlatDataset[Date],"&lt;="&amp;$C$4)</f>
        <v>0</v>
      </c>
      <c r="H15" s="91"/>
    </row>
    <row r="16" spans="1:11">
      <c r="B16" s="76"/>
      <c r="C16" s="108"/>
      <c r="E16" s="82" t="str">
        <f>IF('All Periods'!E16="","",'All Periods'!E16)</f>
        <v/>
      </c>
      <c r="F16" s="96">
        <f>SUMIFS(FlatDataset[Amount (ILS)],FlatDataset[Payment method],E16,FlatDataset[Date],"&gt;="&amp;C$3,FlatDataset[Date],"&lt;="&amp;$C$4)</f>
        <v>0</v>
      </c>
      <c r="H16" s="91"/>
    </row>
    <row r="17" spans="2:10">
      <c r="E17" s="82" t="str">
        <f>IF('All Periods'!E17="","",'All Periods'!E17)</f>
        <v/>
      </c>
      <c r="F17" s="96">
        <f>SUMIFS(FlatDataset[Amount (ILS)],FlatDataset[Payment method],E17,FlatDataset[Date],"&gt;="&amp;C$3,FlatDataset[Date],"&lt;="&amp;$C$4)</f>
        <v>0</v>
      </c>
      <c r="H17" s="91"/>
    </row>
    <row r="18" spans="2:10" s="102" customFormat="1">
      <c r="B18" s="5"/>
      <c r="C18" s="133"/>
      <c r="D18" s="83"/>
      <c r="E18" s="82" t="str">
        <f>IF('All Periods'!E18="","",'All Periods'!E18)</f>
        <v/>
      </c>
      <c r="F18" s="96">
        <f>SUMIFS(FlatDataset[Amount (ILS)],FlatDataset[Payment method],E18,FlatDataset[Date],"&gt;="&amp;C$3,FlatDataset[Date],"&lt;="&amp;$C$4)</f>
        <v>0</v>
      </c>
      <c r="G18" s="104"/>
      <c r="H18" s="104"/>
      <c r="I18" s="83"/>
      <c r="J18" s="83"/>
    </row>
    <row r="19" spans="2:10" s="102" customFormat="1">
      <c r="D19" s="83"/>
      <c r="E19" s="82" t="str">
        <f>IF('All Periods'!E19="","",'All Periods'!E19)</f>
        <v/>
      </c>
      <c r="F19" s="96">
        <f>SUMIFS(FlatDataset[Amount (ILS)],FlatDataset[Payment method],E19,FlatDataset[Date],"&gt;="&amp;C$3,FlatDataset[Date],"&lt;="&amp;$C$4)</f>
        <v>0</v>
      </c>
      <c r="G19" s="104"/>
      <c r="H19" s="104"/>
      <c r="I19" s="83"/>
      <c r="J19" s="83"/>
    </row>
    <row r="20" spans="2:10">
      <c r="E20" s="82" t="str">
        <f>IF('All Periods'!E20="","",'All Periods'!E20)</f>
        <v/>
      </c>
      <c r="F20" s="96">
        <f>SUMIFS(FlatDataset[Amount (ILS)],FlatDataset[Payment method],E20,FlatDataset[Date],"&gt;="&amp;C$3,FlatDataset[Date],"&lt;="&amp;$C$4)</f>
        <v>0</v>
      </c>
      <c r="H20" s="91"/>
    </row>
    <row r="21" spans="2:10">
      <c r="E21" s="82" t="str">
        <f>IF('All Periods'!E21="","",'All Periods'!E21)</f>
        <v/>
      </c>
      <c r="F21" s="96">
        <f>SUMIFS(FlatDataset[Amount (ILS)],FlatDataset[Payment method],E21,FlatDataset[Date],"&gt;="&amp;C$3,FlatDataset[Date],"&lt;="&amp;$C$4)</f>
        <v>0</v>
      </c>
      <c r="H21" s="91"/>
    </row>
    <row r="22" spans="2:10">
      <c r="E22" s="82" t="str">
        <f>IF('All Periods'!E22="","",'All Periods'!E22)</f>
        <v/>
      </c>
      <c r="F22" s="96">
        <f>SUMIFS(FlatDataset[Amount (ILS)],FlatDataset[Payment method],E22,FlatDataset[Date],"&gt;="&amp;C$3,FlatDataset[Date],"&lt;="&amp;$C$4)</f>
        <v>0</v>
      </c>
      <c r="H22" s="91"/>
    </row>
    <row r="23" spans="2:10" ht="15.75" thickBot="1">
      <c r="B23" s="112" t="s">
        <v>41</v>
      </c>
      <c r="C23" s="113">
        <f>SUM(C12:C19)-SUMIFS(C12:C19,D12:D19,"x")</f>
        <v>-486260</v>
      </c>
      <c r="E23" s="112" t="s">
        <v>65</v>
      </c>
      <c r="F23" s="113">
        <f>SUM(F12:F22)-SUMIFS(F12:F22,G12:G22,"x")</f>
        <v>15500</v>
      </c>
      <c r="H23" s="91"/>
    </row>
    <row r="24" spans="2:10">
      <c r="H24" s="91"/>
    </row>
    <row r="25" spans="2:10">
      <c r="B25" s="106" t="s">
        <v>32</v>
      </c>
      <c r="C25" s="107"/>
      <c r="E25" s="106" t="s">
        <v>64</v>
      </c>
      <c r="F25" s="107"/>
      <c r="H25" s="91"/>
    </row>
    <row r="26" spans="2:10">
      <c r="C26" s="96"/>
      <c r="E26" s="82" t="str">
        <f>IF('All Periods'!E27="","",'All Periods'!E27)</f>
        <v>הלוואות - מזרחי</v>
      </c>
      <c r="F26" s="96">
        <f>SUMIFS(FlatDataset[Amount (ILS)],FlatDataset[Payment method],E26,FlatDataset[Date],"&gt;="&amp;C$3,FlatDataset[Date],"&lt;="&amp;$C$4)</f>
        <v>5000</v>
      </c>
      <c r="H26" s="91"/>
    </row>
    <row r="27" spans="2:10">
      <c r="B27" s="15"/>
      <c r="C27" s="108"/>
      <c r="E27" s="82" t="str">
        <f>IF('All Periods'!E28="","",'All Periods'!E28)</f>
        <v>צ'ק - מזרחי</v>
      </c>
      <c r="F27" s="96">
        <f>SUMIFS(FlatDataset[Amount (ILS)],FlatDataset[Payment method],E27,FlatDataset[Date],"&gt;="&amp;C$3,FlatDataset[Date],"&lt;="&amp;$C$4)</f>
        <v>1000</v>
      </c>
      <c r="H27" s="91"/>
    </row>
    <row r="28" spans="2:10">
      <c r="B28" s="76"/>
      <c r="C28" s="103"/>
      <c r="E28" s="82" t="str">
        <f>IF('All Periods'!E29="","",'All Periods'!E29)</f>
        <v>הוראות קבע - מזרחי</v>
      </c>
      <c r="F28" s="96">
        <f>SUMIFS(FlatDataset[Amount (ILS)],FlatDataset[Payment method],E28,FlatDataset[Date],"&gt;="&amp;C$3,FlatDataset[Date],"&lt;="&amp;$C$4)</f>
        <v>0</v>
      </c>
      <c r="H28" s="91"/>
    </row>
    <row r="29" spans="2:10">
      <c r="B29" s="76"/>
      <c r="C29" s="103"/>
      <c r="E29" s="82" t="str">
        <f>IF('All Periods'!E30="","",'All Periods'!E30)</f>
        <v/>
      </c>
      <c r="F29" s="96">
        <f>SUMIFS(FlatDataset[Amount (ILS)],FlatDataset[Payment method],E29,FlatDataset[Date],"&gt;="&amp;C$3,FlatDataset[Date],"&lt;="&amp;$C$4)</f>
        <v>0</v>
      </c>
      <c r="H29" s="91"/>
    </row>
    <row r="30" spans="2:10">
      <c r="C30" s="103"/>
      <c r="E30" s="82" t="str">
        <f>IF('All Periods'!E31="","",'All Periods'!E31)</f>
        <v/>
      </c>
      <c r="F30" s="96">
        <f>SUMIFS(FlatDataset[Amount (ILS)],FlatDataset[Payment method],E30,FlatDataset[Date],"&gt;="&amp;C$3,FlatDataset[Date],"&lt;="&amp;$C$4)</f>
        <v>0</v>
      </c>
      <c r="H30" s="91"/>
    </row>
    <row r="31" spans="2:10" ht="15.75" thickBot="1">
      <c r="B31" s="112" t="s">
        <v>39</v>
      </c>
      <c r="C31" s="113">
        <f>SUM(C26:C30)</f>
        <v>0</v>
      </c>
      <c r="E31" s="112" t="s">
        <v>65</v>
      </c>
      <c r="F31" s="113">
        <f>SUM(F26:F30)-SUMIFS(F26:F30,G26:G30,"x")</f>
        <v>6000</v>
      </c>
      <c r="H31" s="91"/>
    </row>
    <row r="32" spans="2:10">
      <c r="H32" s="91"/>
    </row>
    <row r="33" spans="2:8" ht="15.75" thickBot="1">
      <c r="B33" s="115" t="s">
        <v>66</v>
      </c>
      <c r="C33" s="116">
        <f>SUM(C31,C23)-SUM(F31,F23)</f>
        <v>-507760</v>
      </c>
      <c r="H33" s="91"/>
    </row>
    <row r="34" spans="2:8" ht="15.75" thickTop="1">
      <c r="H34" s="91"/>
    </row>
    <row r="35" spans="2:8">
      <c r="H35" s="91"/>
    </row>
    <row r="36" spans="2:8">
      <c r="B36" s="145"/>
      <c r="C36" s="62"/>
      <c r="H36" s="91"/>
    </row>
    <row r="37" spans="2:8">
      <c r="B37" s="76"/>
      <c r="C37" s="62"/>
      <c r="E37" s="117" t="s">
        <v>37</v>
      </c>
      <c r="F37" s="96"/>
      <c r="H37" s="91"/>
    </row>
    <row r="38" spans="2:8">
      <c r="B38" s="76"/>
      <c r="C38" s="62"/>
      <c r="E38" s="82" t="str">
        <f>IF('All Periods'!E39="","",'All Periods'!E39)</f>
        <v>משכורות</v>
      </c>
      <c r="F38" s="96">
        <f>SUMIFS(FlatDataset[Amount (ILS)],FlatDataset[Name],E38,FlatDataset[Date],"&gt;="&amp;C$3,FlatDataset[Date],"&lt;="&amp;C$4)</f>
        <v>100000</v>
      </c>
      <c r="G38" s="91">
        <f>'All Periods'!G39</f>
        <v>0</v>
      </c>
      <c r="H38" s="104"/>
    </row>
    <row r="39" spans="2:8">
      <c r="B39" s="5"/>
      <c r="C39" s="133"/>
      <c r="E39" s="82" t="str">
        <f>IF('All Periods'!E40="","",'All Periods'!E40)</f>
        <v>ביטוח לאומי</v>
      </c>
      <c r="F39" s="96">
        <f>SUMIFS(FlatDataset[Amount (ILS)],FlatDataset[Name],E39,FlatDataset[Date],"&gt;="&amp;C$3,FlatDataset[Date],"&lt;="&amp;C$4)</f>
        <v>20000</v>
      </c>
      <c r="G39" s="91">
        <f>'All Periods'!G40</f>
        <v>0</v>
      </c>
      <c r="H39" s="104"/>
    </row>
    <row r="40" spans="2:8">
      <c r="E40" s="82" t="str">
        <f>IF('All Periods'!E41="","",'All Periods'!E41)</f>
        <v>מס הכנסה - ניכוי במקור משכורות</v>
      </c>
      <c r="F40" s="96">
        <f>SUMIFS(FlatDataset[Amount (ILS)],FlatDataset[Name],E40,FlatDataset[Date],"&gt;="&amp;C$3,FlatDataset[Date],"&lt;="&amp;C$4)</f>
        <v>20000</v>
      </c>
      <c r="G40" s="91">
        <f>'All Periods'!G41</f>
        <v>0</v>
      </c>
      <c r="H40" s="104"/>
    </row>
    <row r="41" spans="2:8">
      <c r="B41" s="15"/>
      <c r="C41" s="96"/>
      <c r="E41" s="82" t="str">
        <f>IF('All Periods'!E42="","",'All Periods'!E42)</f>
        <v>קופות פנסיה</v>
      </c>
      <c r="F41" s="96">
        <f>SUMIFS(FlatDataset[Amount (ILS)],FlatDataset[Name],E41,FlatDataset[Date],"&gt;="&amp;C$3,FlatDataset[Date],"&lt;="&amp;C$4)</f>
        <v>30000</v>
      </c>
      <c r="G41" s="91">
        <f>'All Periods'!G42</f>
        <v>0</v>
      </c>
      <c r="H41" s="104"/>
    </row>
    <row r="42" spans="2:8" ht="15.75" thickBot="1">
      <c r="B42" s="120" t="s">
        <v>61</v>
      </c>
      <c r="C42" s="121">
        <f>SUM(C31,C23)</f>
        <v>-486260</v>
      </c>
      <c r="E42" s="82" t="str">
        <f>IF('All Periods'!E43="","",'All Periods'!E43)</f>
        <v>מעמ ישראל</v>
      </c>
      <c r="F42" s="96">
        <f>SUMIFS(FlatDataset[Amount (ILS)],FlatDataset[Name],E42,FlatDataset[Date],"&gt;="&amp;C$3,FlatDataset[Date],"&lt;="&amp;C$4)</f>
        <v>10000</v>
      </c>
      <c r="G42" s="91">
        <f>'All Periods'!G43</f>
        <v>0</v>
      </c>
      <c r="H42" s="104"/>
    </row>
    <row r="43" spans="2:8">
      <c r="B43" s="122"/>
      <c r="E43" s="82" t="str">
        <f>IF('All Periods'!E44="","",'All Periods'!E44)</f>
        <v>משכורות - אירופה</v>
      </c>
      <c r="F43" s="96">
        <f>SUMIFS(FlatDataset[Amount (ILS)],FlatDataset[Name],E43,FlatDataset[Date],"&gt;="&amp;C$3,FlatDataset[Date],"&lt;="&amp;C$4)</f>
        <v>21850</v>
      </c>
      <c r="G43" s="91">
        <f>'All Periods'!G44</f>
        <v>0</v>
      </c>
      <c r="H43" s="104"/>
    </row>
    <row r="44" spans="2:8">
      <c r="B44" s="14" t="s">
        <v>104</v>
      </c>
      <c r="C44" s="108">
        <f>SUMIFS('צ''קים בקופה'!C:C,'צ''קים בקופה'!E:E,"&lt;="&amp;end_date5+183,'צ''קים בקופה'!E:E,"&gt;="&amp;start_date5+183)</f>
        <v>0</v>
      </c>
      <c r="E44" s="82" t="str">
        <f>IF('All Periods'!E45="","",'All Periods'!E45)</f>
        <v/>
      </c>
      <c r="F44" s="96">
        <f>SUMIFS(FlatDataset[Amount (ILS)],FlatDataset[Name],E44,FlatDataset[Date],"&gt;="&amp;C$3,FlatDataset[Date],"&lt;="&amp;C$4)</f>
        <v>0</v>
      </c>
      <c r="G44" s="91">
        <f>'All Periods'!G45</f>
        <v>0</v>
      </c>
      <c r="H44" s="104"/>
    </row>
    <row r="45" spans="2:8">
      <c r="B45" s="138" t="s">
        <v>78</v>
      </c>
      <c r="C45" s="109">
        <v>100000</v>
      </c>
      <c r="E45" s="82"/>
      <c r="F45" s="96">
        <f>SUMIFS(FlatDataset[Amount (ILS)],FlatDataset[Name],E45,FlatDataset[Date],"&gt;="&amp;C$3,FlatDataset[Date],"&lt;="&amp;C$4)</f>
        <v>0</v>
      </c>
      <c r="H45" s="91"/>
    </row>
    <row r="46" spans="2:8">
      <c r="B46" s="26"/>
      <c r="C46" s="62"/>
      <c r="E46" s="124" t="s">
        <v>79</v>
      </c>
      <c r="F46" s="126"/>
      <c r="G46" s="104"/>
      <c r="H46" s="91"/>
    </row>
    <row r="47" spans="2:8">
      <c r="E47" s="82" t="str">
        <f>IF('All Periods'!E48="","",'All Periods'!E48)</f>
        <v>ספק א</v>
      </c>
      <c r="F47" s="96">
        <f>SUMIFS(FlatDataset[Amount (ILS)],FlatDataset[Name],E47,FlatDataset[Date],"&gt;="&amp;C$3,FlatDataset[Date],"&lt;="&amp;C$4)</f>
        <v>5000</v>
      </c>
      <c r="G47" s="104">
        <f>'All Periods'!G48</f>
        <v>0</v>
      </c>
      <c r="H47" s="91"/>
    </row>
    <row r="48" spans="2:8">
      <c r="E48" s="82" t="str">
        <f>IF('All Periods'!E49="","",'All Periods'!E49)</f>
        <v>ספק ב</v>
      </c>
      <c r="F48" s="96">
        <f>SUMIFS(FlatDataset[Amount (ILS)],FlatDataset[Name],E48,FlatDataset[Date],"&gt;="&amp;C$3,FlatDataset[Date],"&lt;="&amp;C$4)</f>
        <v>0</v>
      </c>
      <c r="G48" s="104">
        <f>'All Periods'!G49</f>
        <v>0</v>
      </c>
      <c r="H48" s="91"/>
    </row>
    <row r="49" spans="2:8">
      <c r="B49" s="140"/>
      <c r="C49" s="141"/>
      <c r="E49" s="82" t="str">
        <f>IF('All Periods'!E50="","",'All Periods'!E50)</f>
        <v>ספק ג</v>
      </c>
      <c r="F49" s="96">
        <f>SUMIFS(FlatDataset[Amount (ILS)],FlatDataset[Name],E49,FlatDataset[Date],"&gt;="&amp;C$3,FlatDataset[Date],"&lt;="&amp;C$4)</f>
        <v>13110</v>
      </c>
      <c r="G49" s="104">
        <f>'All Periods'!G50</f>
        <v>0</v>
      </c>
      <c r="H49" s="91"/>
    </row>
    <row r="50" spans="2:8">
      <c r="B50" s="140"/>
      <c r="C50" s="142"/>
      <c r="E50" s="82" t="str">
        <f>IF('All Periods'!E51="","",'All Periods'!E51)</f>
        <v>ספק ד</v>
      </c>
      <c r="F50" s="96">
        <f>SUMIFS(FlatDataset[Amount (ILS)],FlatDataset[Name],E50,FlatDataset[Date],"&gt;="&amp;C$3,FlatDataset[Date],"&lt;="&amp;C$4)</f>
        <v>0</v>
      </c>
      <c r="G50" s="104">
        <f>'All Periods'!G51</f>
        <v>0</v>
      </c>
      <c r="H50" s="91"/>
    </row>
    <row r="51" spans="2:8">
      <c r="B51" s="143"/>
      <c r="C51" s="141"/>
      <c r="E51" s="82" t="str">
        <f>IF('All Periods'!E52="","",'All Periods'!E52)</f>
        <v/>
      </c>
      <c r="F51" s="96">
        <f>SUMIFS(FlatDataset[Amount (ILS)],FlatDataset[Name],E51,FlatDataset[Date],"&gt;="&amp;C$3,FlatDataset[Date],"&lt;="&amp;C$4)</f>
        <v>0</v>
      </c>
      <c r="G51" s="104">
        <f>'All Periods'!G52</f>
        <v>0</v>
      </c>
      <c r="H51" s="91"/>
    </row>
    <row r="52" spans="2:8">
      <c r="E52" s="82" t="str">
        <f>IF('All Periods'!E53="","",'All Periods'!E53)</f>
        <v/>
      </c>
      <c r="F52" s="96">
        <f>SUMIFS(FlatDataset[Amount (ILS)],FlatDataset[Name],E52,FlatDataset[Date],"&gt;="&amp;C$3,FlatDataset[Date],"&lt;="&amp;C$4)</f>
        <v>0</v>
      </c>
      <c r="G52" s="104">
        <f>'All Periods'!G53</f>
        <v>0</v>
      </c>
      <c r="H52" s="91"/>
    </row>
    <row r="53" spans="2:8">
      <c r="C53" s="17"/>
      <c r="E53" s="82" t="str">
        <f>IF('All Periods'!E54="","",'All Periods'!E54)</f>
        <v/>
      </c>
      <c r="F53" s="96">
        <f>SUMIFS(FlatDataset[Amount (ILS)],FlatDataset[Name],E53,FlatDataset[Date],"&gt;="&amp;C$3,FlatDataset[Date],"&lt;="&amp;C$4)</f>
        <v>0</v>
      </c>
      <c r="G53" s="104">
        <f>'All Periods'!G54</f>
        <v>0</v>
      </c>
      <c r="H53" s="91"/>
    </row>
    <row r="54" spans="2:8">
      <c r="E54" s="82" t="str">
        <f>IF('All Periods'!E55="","",'All Periods'!E55)</f>
        <v/>
      </c>
      <c r="F54" s="96">
        <f>SUMIFS(FlatDataset[Amount (ILS)],FlatDataset[Name],E54,FlatDataset[Date],"&gt;="&amp;C$3,FlatDataset[Date],"&lt;="&amp;C$4)</f>
        <v>0</v>
      </c>
      <c r="G54" s="104">
        <f>'All Periods'!G55</f>
        <v>0</v>
      </c>
      <c r="H54" s="91"/>
    </row>
    <row r="55" spans="2:8">
      <c r="E55" s="82" t="str">
        <f>IF('All Periods'!E56="","",'All Periods'!E56)</f>
        <v/>
      </c>
      <c r="F55" s="96">
        <f>SUMIFS(FlatDataset[Amount (ILS)],FlatDataset[Name],E55,FlatDataset[Date],"&gt;="&amp;C$3,FlatDataset[Date],"&lt;="&amp;C$4)</f>
        <v>0</v>
      </c>
      <c r="G55" s="104">
        <f>'All Periods'!G56</f>
        <v>0</v>
      </c>
      <c r="H55" s="91"/>
    </row>
    <row r="56" spans="2:8">
      <c r="E56" s="82" t="str">
        <f>IF('All Periods'!E57="","",'All Periods'!E57)</f>
        <v/>
      </c>
      <c r="F56" s="96">
        <f>SUMIFS(FlatDataset[Amount (ILS)],FlatDataset[Name],E56,FlatDataset[Date],"&gt;="&amp;C$3,FlatDataset[Date],"&lt;="&amp;C$4)</f>
        <v>0</v>
      </c>
      <c r="G56" s="104">
        <f>'All Periods'!G57</f>
        <v>0</v>
      </c>
      <c r="H56" s="91"/>
    </row>
    <row r="57" spans="2:8">
      <c r="E57" s="82" t="str">
        <f>IF('All Periods'!E58="","",'All Periods'!E58)</f>
        <v/>
      </c>
      <c r="F57" s="96">
        <f>SUMIFS(FlatDataset[Amount (ILS)],FlatDataset[Name],E57,FlatDataset[Date],"&gt;="&amp;C$3,FlatDataset[Date],"&lt;="&amp;C$4)</f>
        <v>0</v>
      </c>
      <c r="G57" s="104">
        <f>'All Periods'!G58</f>
        <v>0</v>
      </c>
      <c r="H57" s="91"/>
    </row>
    <row r="58" spans="2:8">
      <c r="E58" s="82" t="str">
        <f>IF('All Periods'!E59="","",'All Periods'!E59)</f>
        <v/>
      </c>
      <c r="F58" s="96">
        <f>SUMIFS(FlatDataset[Amount (ILS)],FlatDataset[Name],E58,FlatDataset[Date],"&gt;="&amp;C$3,FlatDataset[Date],"&lt;="&amp;C$4)</f>
        <v>0</v>
      </c>
      <c r="G58" s="104">
        <f>'All Periods'!G59</f>
        <v>0</v>
      </c>
      <c r="H58" s="91"/>
    </row>
    <row r="59" spans="2:8">
      <c r="H59" s="91"/>
    </row>
    <row r="60" spans="2:8">
      <c r="E60" s="82"/>
      <c r="F60" s="96"/>
      <c r="H60" s="91"/>
    </row>
    <row r="61" spans="2:8">
      <c r="E61" s="124" t="s">
        <v>21</v>
      </c>
      <c r="F61" s="96"/>
      <c r="H61" s="91"/>
    </row>
    <row r="62" spans="2:8">
      <c r="E62" s="82" t="str">
        <f>IF('All Periods'!E62="","",'All Periods'!E62)</f>
        <v>חוב לספק א</v>
      </c>
      <c r="F62" s="96">
        <f>SUMIFS(FlatDataset[Amount (ILS)],FlatDataset[Name],E62,FlatDataset[Date],"&gt;="&amp;C$3,FlatDataset[Date],"&lt;="&amp;C$4)</f>
        <v>10000</v>
      </c>
      <c r="G62" s="91">
        <f>'All Periods'!G62</f>
        <v>0</v>
      </c>
      <c r="H62" s="91"/>
    </row>
    <row r="63" spans="2:8">
      <c r="E63" s="82" t="str">
        <f>IF('All Periods'!E63="","",'All Periods'!E63)</f>
        <v>חוב לספק ב</v>
      </c>
      <c r="F63" s="96">
        <f>SUMIFS(FlatDataset[Amount (ILS)],FlatDataset[Name],E63,FlatDataset[Date],"&gt;="&amp;C$3,FlatDataset[Date],"&lt;="&amp;C$4)</f>
        <v>8740</v>
      </c>
      <c r="G63" s="91">
        <f>'All Periods'!G63</f>
        <v>0</v>
      </c>
      <c r="H63" s="91"/>
    </row>
    <row r="64" spans="2:8">
      <c r="E64" s="82" t="str">
        <f>IF('All Periods'!E64="","",'All Periods'!E64)</f>
        <v>חוב לספק ג</v>
      </c>
      <c r="F64" s="96">
        <f>SUMIFS(FlatDataset[Amount (ILS)],FlatDataset[Name],E64,FlatDataset[Date],"&gt;="&amp;C$3,FlatDataset[Date],"&lt;="&amp;C$4)</f>
        <v>0</v>
      </c>
      <c r="G64" s="91">
        <f>'All Periods'!G64</f>
        <v>0</v>
      </c>
      <c r="H64" s="91"/>
    </row>
    <row r="65" spans="5:8">
      <c r="E65" s="82" t="str">
        <f>IF('All Periods'!E65="","",'All Periods'!E65)</f>
        <v>חוב לספק ד</v>
      </c>
      <c r="F65" s="96">
        <f>SUMIFS(FlatDataset[Amount (ILS)],FlatDataset[Name],E65,FlatDataset[Date],"&gt;="&amp;C$3,FlatDataset[Date],"&lt;="&amp;C$4)</f>
        <v>0</v>
      </c>
      <c r="G65" s="91">
        <f>'All Periods'!G65</f>
        <v>0</v>
      </c>
      <c r="H65" s="91"/>
    </row>
    <row r="66" spans="5:8">
      <c r="E66" s="82" t="str">
        <f>IF('All Periods'!E66="","",'All Periods'!E66)</f>
        <v/>
      </c>
      <c r="F66" s="96">
        <f>SUMIFS(FlatDataset[Amount (ILS)],FlatDataset[Name],E66,FlatDataset[Date],"&gt;="&amp;C$3,FlatDataset[Date],"&lt;="&amp;C$4)</f>
        <v>0</v>
      </c>
      <c r="G66" s="91">
        <f>'All Periods'!G66</f>
        <v>0</v>
      </c>
      <c r="H66" s="91"/>
    </row>
    <row r="67" spans="5:8">
      <c r="E67" s="82" t="str">
        <f>IF('All Periods'!E67="","",'All Periods'!E67)</f>
        <v/>
      </c>
      <c r="F67" s="96">
        <f>SUMIFS(FlatDataset[Amount (ILS)],FlatDataset[Name],E67,FlatDataset[Date],"&gt;="&amp;C$3,FlatDataset[Date],"&lt;="&amp;C$4)</f>
        <v>0</v>
      </c>
      <c r="G67" s="91">
        <f>'All Periods'!G67</f>
        <v>0</v>
      </c>
      <c r="H67" s="91"/>
    </row>
    <row r="68" spans="5:8">
      <c r="E68" s="82" t="str">
        <f>IF('All Periods'!E68="","",'All Periods'!E68)</f>
        <v/>
      </c>
      <c r="F68" s="96">
        <f>SUMIFS(FlatDataset[Amount (ILS)],FlatDataset[Name],E68,FlatDataset[Date],"&gt;="&amp;C$3,FlatDataset[Date],"&lt;="&amp;C$4)</f>
        <v>0</v>
      </c>
      <c r="G68" s="91">
        <f>'All Periods'!G68</f>
        <v>0</v>
      </c>
      <c r="H68" s="91"/>
    </row>
    <row r="69" spans="5:8">
      <c r="E69" s="82" t="str">
        <f>IF('All Periods'!E69="","",'All Periods'!E69)</f>
        <v/>
      </c>
      <c r="F69" s="96">
        <f>SUMIFS(FlatDataset[Amount (ILS)],FlatDataset[Name],E69,FlatDataset[Date],"&gt;="&amp;C$3,FlatDataset[Date],"&lt;="&amp;C$4)</f>
        <v>0</v>
      </c>
      <c r="G69" s="91">
        <f>'All Periods'!G69</f>
        <v>0</v>
      </c>
      <c r="H69" s="91"/>
    </row>
    <row r="70" spans="5:8">
      <c r="E70" s="82" t="str">
        <f>IF('All Periods'!E70="","",'All Periods'!E70)</f>
        <v/>
      </c>
      <c r="F70" s="96">
        <f>SUMIFS(FlatDataset[Amount (ILS)],FlatDataset[Name],E70,FlatDataset[Date],"&gt;="&amp;C$3,FlatDataset[Date],"&lt;="&amp;C$4)</f>
        <v>0</v>
      </c>
      <c r="G70" s="91">
        <f>'All Periods'!G70</f>
        <v>0</v>
      </c>
      <c r="H70" s="91"/>
    </row>
    <row r="71" spans="5:8">
      <c r="E71" s="82" t="str">
        <f>IF('All Periods'!E71="","",'All Periods'!E71)</f>
        <v/>
      </c>
      <c r="F71" s="96">
        <f>SUMIFS(FlatDataset[Amount (ILS)],FlatDataset[Name],E71,FlatDataset[Date],"&gt;="&amp;C$3,FlatDataset[Date],"&lt;="&amp;C$4)</f>
        <v>0</v>
      </c>
      <c r="G71" s="91">
        <f>'All Periods'!G71</f>
        <v>0</v>
      </c>
      <c r="H71" s="91"/>
    </row>
    <row r="72" spans="5:8">
      <c r="E72" s="82" t="str">
        <f>IF('All Periods'!E72="","",'All Periods'!E72)</f>
        <v/>
      </c>
      <c r="F72" s="96">
        <f>SUMIFS(FlatDataset[Amount (ILS)],FlatDataset[Name],E72,FlatDataset[Date],"&gt;="&amp;C$3,FlatDataset[Date],"&lt;="&amp;C$4)</f>
        <v>0</v>
      </c>
      <c r="G72" s="91">
        <f>'All Periods'!G72</f>
        <v>0</v>
      </c>
      <c r="H72" s="91"/>
    </row>
    <row r="73" spans="5:8">
      <c r="E73" s="82" t="str">
        <f>IF('All Periods'!E73="","",'All Periods'!E73)</f>
        <v/>
      </c>
      <c r="F73" s="96">
        <f>SUMIFS(FlatDataset[Amount (ILS)],FlatDataset[Name],E73,FlatDataset[Date],"&gt;="&amp;C$3,FlatDataset[Date],"&lt;="&amp;C$4)</f>
        <v>0</v>
      </c>
      <c r="G73" s="91">
        <f>'All Periods'!G73</f>
        <v>0</v>
      </c>
      <c r="H73" s="91"/>
    </row>
    <row r="74" spans="5:8">
      <c r="E74" s="82" t="str">
        <f>IF('All Periods'!E74="","",'All Periods'!E74)</f>
        <v/>
      </c>
      <c r="F74" s="96">
        <f>SUMIFS(FlatDataset[Amount (ILS)],FlatDataset[Name],E74,FlatDataset[Date],"&gt;="&amp;C$3,FlatDataset[Date],"&lt;="&amp;C$4)</f>
        <v>0</v>
      </c>
      <c r="G74" s="91">
        <f>'All Periods'!G74</f>
        <v>0</v>
      </c>
      <c r="H74" s="91"/>
    </row>
    <row r="75" spans="5:8">
      <c r="E75" s="82" t="str">
        <f>IF('All Periods'!E75="","",'All Periods'!E75)</f>
        <v/>
      </c>
      <c r="F75" s="96">
        <f>SUMIFS(FlatDataset[Amount (ILS)],FlatDataset[Name],E75,FlatDataset[Date],"&gt;="&amp;C$3,FlatDataset[Date],"&lt;="&amp;C$4)</f>
        <v>0</v>
      </c>
      <c r="G75" s="91">
        <f>'All Periods'!G75</f>
        <v>0</v>
      </c>
      <c r="H75" s="91"/>
    </row>
    <row r="76" spans="5:8">
      <c r="E76" s="82" t="str">
        <f>IF('All Periods'!E76="","",'All Periods'!E76)</f>
        <v/>
      </c>
      <c r="F76" s="96">
        <f>SUMIFS(FlatDataset[Amount (ILS)],FlatDataset[Name],E76,FlatDataset[Date],"&gt;="&amp;C$3,FlatDataset[Date],"&lt;="&amp;C$4)</f>
        <v>0</v>
      </c>
      <c r="G76" s="91">
        <f>'All Periods'!G76</f>
        <v>0</v>
      </c>
    </row>
    <row r="77" spans="5:8">
      <c r="E77" s="82" t="str">
        <f>IF('All Periods'!E77="","",'All Periods'!E77)</f>
        <v/>
      </c>
      <c r="F77" s="96">
        <f>SUMIFS(FlatDataset[Amount (ILS)],FlatDataset[Name],E77,FlatDataset[Date],"&gt;="&amp;C$3,FlatDataset[Date],"&lt;="&amp;C$4)</f>
        <v>0</v>
      </c>
      <c r="G77" s="91">
        <f>'All Periods'!G77</f>
        <v>0</v>
      </c>
    </row>
    <row r="78" spans="5:8">
      <c r="E78" s="82" t="str">
        <f>IF('All Periods'!E78="","",'All Periods'!E78)</f>
        <v/>
      </c>
      <c r="F78" s="96">
        <f>SUMIFS(FlatDataset[Amount (ILS)],FlatDataset[Name],E78,FlatDataset[Date],"&gt;="&amp;C$3,FlatDataset[Date],"&lt;="&amp;C$4)</f>
        <v>0</v>
      </c>
      <c r="G78" s="91">
        <f>'All Periods'!G78</f>
        <v>0</v>
      </c>
    </row>
    <row r="79" spans="5:8">
      <c r="E79" s="82" t="str">
        <f>IF('All Periods'!E79="","",'All Periods'!E79)</f>
        <v/>
      </c>
      <c r="F79" s="96">
        <f>SUMIFS(FlatDataset[Amount (ILS)],FlatDataset[Name],E79,FlatDataset[Date],"&gt;="&amp;C$3,FlatDataset[Date],"&lt;="&amp;C$4)</f>
        <v>0</v>
      </c>
      <c r="G79" s="91">
        <f>'All Periods'!G79</f>
        <v>0</v>
      </c>
      <c r="H79" s="91"/>
    </row>
    <row r="80" spans="5:8">
      <c r="E80" s="82" t="str">
        <f>IF('All Periods'!E80="","",'All Periods'!E80)</f>
        <v/>
      </c>
      <c r="F80" s="96">
        <f>SUMIFS(FlatDataset[Amount (ILS)],FlatDataset[Name],E80,FlatDataset[Date],"&gt;="&amp;C$3,FlatDataset[Date],"&lt;="&amp;C$4)</f>
        <v>0</v>
      </c>
      <c r="G80" s="91">
        <f>'All Periods'!G80</f>
        <v>0</v>
      </c>
      <c r="H80" s="91"/>
    </row>
    <row r="81" spans="2:8">
      <c r="E81" s="82" t="str">
        <f>IF('All Periods'!E81="","",'All Periods'!E81)</f>
        <v/>
      </c>
      <c r="F81" s="96">
        <f>SUMIFS(FlatDataset[Amount (ILS)],FlatDataset[Name],E81,FlatDataset[Date],"&gt;="&amp;C$3,FlatDataset[Date],"&lt;="&amp;C$4)</f>
        <v>0</v>
      </c>
      <c r="G81" s="91">
        <f>'All Periods'!G81</f>
        <v>0</v>
      </c>
      <c r="H81" s="91"/>
    </row>
    <row r="82" spans="2:8">
      <c r="E82" s="82" t="str">
        <f>IF('All Periods'!E82="","",'All Periods'!E82)</f>
        <v/>
      </c>
      <c r="F82" s="96">
        <f>SUMIFS(FlatDataset[Amount (ILS)],FlatDataset[Name],E82,FlatDataset[Date],"&gt;="&amp;C$3,FlatDataset[Date],"&lt;="&amp;C$4)</f>
        <v>0</v>
      </c>
      <c r="G82" s="91">
        <f>'All Periods'!G82</f>
        <v>0</v>
      </c>
      <c r="H82" s="91"/>
    </row>
    <row r="83" spans="2:8">
      <c r="E83" s="82" t="str">
        <f>IF('All Periods'!E83="","",'All Periods'!E83)</f>
        <v/>
      </c>
      <c r="F83" s="96">
        <f>SUMIFS(FlatDataset[Amount (ILS)],FlatDataset[Name],E83,FlatDataset[Date],"&gt;="&amp;C$3,FlatDataset[Date],"&lt;="&amp;C$4)</f>
        <v>0</v>
      </c>
      <c r="G83" s="91">
        <f>'All Periods'!G83</f>
        <v>0</v>
      </c>
      <c r="H83" s="91"/>
    </row>
    <row r="84" spans="2:8">
      <c r="B84" s="15"/>
      <c r="C84" s="108"/>
      <c r="E84" s="82" t="str">
        <f>IF('All Periods'!E84="","",'All Periods'!E84)</f>
        <v/>
      </c>
      <c r="F84" s="96">
        <f>SUMIFS(FlatDataset[Amount (ILS)],FlatDataset[Name],E84,FlatDataset[Date],"&gt;="&amp;C$3,FlatDataset[Date],"&lt;="&amp;C$4)</f>
        <v>0</v>
      </c>
      <c r="G84" s="91">
        <f>'All Periods'!G84</f>
        <v>0</v>
      </c>
      <c r="H84" s="91"/>
    </row>
    <row r="85" spans="2:8">
      <c r="B85" s="15"/>
      <c r="C85" s="108"/>
      <c r="E85" s="82" t="str">
        <f>IF('All Periods'!E85="","",'All Periods'!E85)</f>
        <v/>
      </c>
      <c r="F85" s="96">
        <f>SUMIFS(FlatDataset[Amount (ILS)],FlatDataset[Name],E85,FlatDataset[Date],"&gt;="&amp;C$3,FlatDataset[Date],"&lt;="&amp;C$4)</f>
        <v>0</v>
      </c>
      <c r="G85" s="91">
        <f>'All Periods'!G85</f>
        <v>0</v>
      </c>
      <c r="H85" s="91"/>
    </row>
    <row r="86" spans="2:8">
      <c r="B86" s="15"/>
      <c r="C86" s="15"/>
      <c r="E86" s="82" t="str">
        <f>IF('All Periods'!E86="","",'All Periods'!E86)</f>
        <v/>
      </c>
      <c r="F86" s="96">
        <f>SUMIFS(FlatDataset[Amount (ILS)],FlatDataset[Name],E86,FlatDataset[Date],"&gt;="&amp;C$3,FlatDataset[Date],"&lt;="&amp;C$4)</f>
        <v>0</v>
      </c>
      <c r="G86" s="91">
        <f>'All Periods'!G86</f>
        <v>0</v>
      </c>
      <c r="H86" s="91"/>
    </row>
    <row r="87" spans="2:8">
      <c r="B87" s="15"/>
      <c r="C87" s="62"/>
      <c r="E87" s="82" t="str">
        <f>IF('All Periods'!E87="","",'All Periods'!E87)</f>
        <v/>
      </c>
      <c r="F87" s="96">
        <f>SUMIFS(FlatDataset[Amount (ILS)],FlatDataset[Name],E87,FlatDataset[Date],"&gt;="&amp;C$3,FlatDataset[Date],"&lt;="&amp;C$4)</f>
        <v>0</v>
      </c>
      <c r="G87" s="91">
        <f>'All Periods'!G87</f>
        <v>0</v>
      </c>
      <c r="H87" s="91"/>
    </row>
    <row r="88" spans="2:8">
      <c r="B88" s="41"/>
      <c r="C88" s="125"/>
      <c r="E88" s="82" t="str">
        <f>IF('All Periods'!E88="","",'All Periods'!E88)</f>
        <v/>
      </c>
      <c r="F88" s="96">
        <f>SUMIFS(FlatDataset[Amount (ILS)],FlatDataset[Name],E88,FlatDataset[Date],"&gt;="&amp;C$3,FlatDataset[Date],"&lt;="&amp;C$4)</f>
        <v>0</v>
      </c>
      <c r="G88" s="91">
        <f>'All Periods'!G88</f>
        <v>0</v>
      </c>
      <c r="H88" s="91"/>
    </row>
    <row r="89" spans="2:8">
      <c r="C89" s="103"/>
      <c r="E89" s="82" t="str">
        <f>IF('All Periods'!E89="","",'All Periods'!E89)</f>
        <v/>
      </c>
      <c r="F89" s="96">
        <f>SUMIFS(FlatDataset[Amount (ILS)],FlatDataset[Name],E89,FlatDataset[Date],"&gt;="&amp;C$3,FlatDataset[Date],"&lt;="&amp;C$4)</f>
        <v>0</v>
      </c>
      <c r="G89" s="91">
        <f>'All Periods'!G89</f>
        <v>0</v>
      </c>
      <c r="H89" s="91"/>
    </row>
    <row r="90" spans="2:8">
      <c r="E90" s="82" t="str">
        <f>IF('All Periods'!E90="","",'All Periods'!E90)</f>
        <v/>
      </c>
      <c r="F90" s="96">
        <f>SUMIFS(FlatDataset[Amount (ILS)],FlatDataset[Name],E90,FlatDataset[Date],"&gt;="&amp;C$3,FlatDataset[Date],"&lt;="&amp;C$4)</f>
        <v>0</v>
      </c>
      <c r="G90" s="91">
        <f>'All Periods'!G90</f>
        <v>0</v>
      </c>
      <c r="H90" s="91"/>
    </row>
    <row r="91" spans="2:8">
      <c r="E91" s="82" t="str">
        <f>IF('All Periods'!E91="","",'All Periods'!E91)</f>
        <v/>
      </c>
      <c r="F91" s="96">
        <f>SUMIFS(FlatDataset[Amount (ILS)],FlatDataset[Name],E91,FlatDataset[Date],"&gt;="&amp;C$3,FlatDataset[Date],"&lt;="&amp;C$4)</f>
        <v>0</v>
      </c>
      <c r="G91" s="91">
        <f>'All Periods'!G91</f>
        <v>0</v>
      </c>
      <c r="H91" s="91"/>
    </row>
    <row r="92" spans="2:8">
      <c r="E92" s="82" t="str">
        <f>IF('All Periods'!E92="","",'All Periods'!E92)</f>
        <v/>
      </c>
      <c r="F92" s="96">
        <f>SUMIFS(FlatDataset[Amount (ILS)],FlatDataset[Name],E92,FlatDataset[Date],"&gt;="&amp;C$3,FlatDataset[Date],"&lt;="&amp;C$4)</f>
        <v>0</v>
      </c>
      <c r="G92" s="91">
        <f>'All Periods'!G92</f>
        <v>0</v>
      </c>
      <c r="H92" s="91"/>
    </row>
    <row r="93" spans="2:8">
      <c r="E93" s="82" t="str">
        <f>IF('All Periods'!E93="","",'All Periods'!E93)</f>
        <v/>
      </c>
      <c r="F93" s="96">
        <f>SUMIFS(FlatDataset[Amount (ILS)],FlatDataset[Name],E93,FlatDataset[Date],"&gt;="&amp;C$3,FlatDataset[Date],"&lt;="&amp;C$4)</f>
        <v>0</v>
      </c>
      <c r="G93" s="91">
        <f>'All Periods'!G93</f>
        <v>0</v>
      </c>
      <c r="H93" s="91"/>
    </row>
    <row r="94" spans="2:8">
      <c r="E94" s="82" t="str">
        <f>IF('All Periods'!E94="","",'All Periods'!E94)</f>
        <v/>
      </c>
      <c r="F94" s="96">
        <f>SUMIFS(FlatDataset[Amount (ILS)],FlatDataset[Name],E94,FlatDataset[Date],"&gt;="&amp;C$3,FlatDataset[Date],"&lt;="&amp;C$4)</f>
        <v>0</v>
      </c>
      <c r="G94" s="91">
        <f>'All Periods'!G94</f>
        <v>0</v>
      </c>
      <c r="H94" s="91"/>
    </row>
    <row r="95" spans="2:8">
      <c r="D95" s="81"/>
      <c r="E95" s="82" t="str">
        <f>IF('All Periods'!E95="","",'All Periods'!E95)</f>
        <v/>
      </c>
      <c r="F95" s="96">
        <f>SUMIFS(FlatDataset[Amount (ILS)],FlatDataset[Name],E95,FlatDataset[Date],"&gt;="&amp;C$3,FlatDataset[Date],"&lt;="&amp;C$4)</f>
        <v>0</v>
      </c>
      <c r="G95" s="91">
        <f>'All Periods'!G95</f>
        <v>0</v>
      </c>
      <c r="H95" s="91"/>
    </row>
    <row r="96" spans="2:8">
      <c r="C96" s="96"/>
      <c r="E96" s="82" t="str">
        <f>IF('All Periods'!E96="","",'All Periods'!E96)</f>
        <v/>
      </c>
      <c r="F96" s="96">
        <f>SUMIFS(FlatDataset[Amount (ILS)],FlatDataset[Name],E96,FlatDataset[Date],"&gt;="&amp;C$3,FlatDataset[Date],"&lt;="&amp;C$4)</f>
        <v>0</v>
      </c>
      <c r="G96" s="91">
        <f>'All Periods'!G96</f>
        <v>0</v>
      </c>
      <c r="H96" s="91"/>
    </row>
    <row r="97" spans="2:8">
      <c r="E97" s="82" t="str">
        <f>IF('All Periods'!E97="","",'All Periods'!E97)</f>
        <v/>
      </c>
      <c r="F97" s="96">
        <f>SUMIFS(FlatDataset[Amount (ILS)],FlatDataset[Name],E97,FlatDataset[Date],"&gt;="&amp;C$3,FlatDataset[Date],"&lt;="&amp;C$4)</f>
        <v>0</v>
      </c>
      <c r="G97" s="91">
        <f>'All Periods'!G97</f>
        <v>0</v>
      </c>
      <c r="H97" s="91"/>
    </row>
    <row r="98" spans="2:8">
      <c r="C98" s="96"/>
      <c r="E98" s="82" t="str">
        <f>IF('All Periods'!E98="","",'All Periods'!E98)</f>
        <v/>
      </c>
      <c r="F98" s="96">
        <f>SUMIFS(FlatDataset[Amount (ILS)],FlatDataset[Name],E98,FlatDataset[Date],"&gt;="&amp;C$3,FlatDataset[Date],"&lt;="&amp;C$4)</f>
        <v>0</v>
      </c>
      <c r="G98" s="91">
        <f>'All Periods'!G98</f>
        <v>0</v>
      </c>
      <c r="H98" s="91"/>
    </row>
    <row r="99" spans="2:8">
      <c r="C99" s="96"/>
      <c r="E99" s="82" t="str">
        <f>IF('All Periods'!E99="","",'All Periods'!E99)</f>
        <v/>
      </c>
      <c r="F99" s="96">
        <f>SUMIFS(FlatDataset[Amount (ILS)],FlatDataset[Name],E99,FlatDataset[Date],"&gt;="&amp;C$3,FlatDataset[Date],"&lt;="&amp;C$4)</f>
        <v>0</v>
      </c>
      <c r="G99" s="91">
        <f>'All Periods'!G99</f>
        <v>0</v>
      </c>
      <c r="H99" s="91"/>
    </row>
    <row r="100" spans="2:8">
      <c r="B100" s="26"/>
      <c r="C100" s="126"/>
      <c r="E100" s="82" t="str">
        <f>IF('All Periods'!E100="","",'All Periods'!E100)</f>
        <v/>
      </c>
      <c r="F100" s="96">
        <f>SUMIFS(FlatDataset[Amount (ILS)],FlatDataset[Name],E100,FlatDataset[Date],"&gt;="&amp;C$3,FlatDataset[Date],"&lt;="&amp;C$4)</f>
        <v>0</v>
      </c>
      <c r="G100" s="91">
        <f>'All Periods'!G100</f>
        <v>0</v>
      </c>
      <c r="H100" s="91"/>
    </row>
    <row r="101" spans="2:8">
      <c r="C101" s="96"/>
      <c r="E101" s="82" t="str">
        <f>IF('All Periods'!E101="","",'All Periods'!E101)</f>
        <v/>
      </c>
      <c r="F101" s="96">
        <f>SUMIFS(FlatDataset[Amount (ILS)],FlatDataset[Name],E101,FlatDataset[Date],"&gt;="&amp;C$3,FlatDataset[Date],"&lt;="&amp;C$4)</f>
        <v>0</v>
      </c>
      <c r="G101" s="91">
        <f>'All Periods'!G101</f>
        <v>0</v>
      </c>
      <c r="H101" s="91"/>
    </row>
    <row r="102" spans="2:8">
      <c r="B102" s="26"/>
      <c r="C102" s="126"/>
      <c r="E102" s="82" t="str">
        <f>IF('All Periods'!E102="","",'All Periods'!E102)</f>
        <v/>
      </c>
      <c r="F102" s="96">
        <f>SUMIFS(FlatDataset[Amount (ILS)],FlatDataset[Name],E102,FlatDataset[Date],"&gt;="&amp;C$3,FlatDataset[Date],"&lt;="&amp;C$4)</f>
        <v>0</v>
      </c>
      <c r="G102" s="91">
        <f>'All Periods'!G102</f>
        <v>0</v>
      </c>
      <c r="H102" s="91"/>
    </row>
    <row r="103" spans="2:8">
      <c r="C103" s="96"/>
      <c r="E103" s="82" t="str">
        <f>IF('All Periods'!E103="","",'All Periods'!E103)</f>
        <v/>
      </c>
      <c r="F103" s="96">
        <f>SUMIFS(FlatDataset[Amount (ILS)],FlatDataset[Name],E103,FlatDataset[Date],"&gt;="&amp;C$3,FlatDataset[Date],"&lt;="&amp;C$4)</f>
        <v>0</v>
      </c>
      <c r="G103" s="91">
        <f>'All Periods'!G103</f>
        <v>0</v>
      </c>
      <c r="H103" s="91"/>
    </row>
    <row r="104" spans="2:8">
      <c r="C104" s="96"/>
      <c r="E104" s="82" t="str">
        <f>IF('All Periods'!E104="","",'All Periods'!E104)</f>
        <v/>
      </c>
      <c r="F104" s="96">
        <f>SUMIFS(FlatDataset[Amount (ILS)],FlatDataset[Name],E104,FlatDataset[Date],"&gt;="&amp;C$3,FlatDataset[Date],"&lt;="&amp;C$4)</f>
        <v>0</v>
      </c>
      <c r="G104" s="91">
        <f>'All Periods'!G104</f>
        <v>0</v>
      </c>
    </row>
    <row r="105" spans="2:8">
      <c r="E105" s="82" t="str">
        <f>IF('All Periods'!E105="","",'All Periods'!E105)</f>
        <v/>
      </c>
      <c r="F105" s="96">
        <f>SUMIFS(FlatDataset[Amount (ILS)],FlatDataset[Name],E105,FlatDataset[Date],"&gt;="&amp;C$3,FlatDataset[Date],"&lt;="&amp;C$4)</f>
        <v>0</v>
      </c>
      <c r="G105" s="91">
        <f>'All Periods'!G105</f>
        <v>0</v>
      </c>
    </row>
    <row r="106" spans="2:8">
      <c r="E106" s="82" t="str">
        <f>IF('All Periods'!E106="","",'All Periods'!E106)</f>
        <v/>
      </c>
      <c r="F106" s="96">
        <f>SUMIFS(FlatDataset[Amount (ILS)],FlatDataset[Name],E106,FlatDataset[Date],"&gt;="&amp;C$3,FlatDataset[Date],"&lt;="&amp;C$4)</f>
        <v>0</v>
      </c>
      <c r="G106" s="91">
        <f>'All Periods'!G106</f>
        <v>0</v>
      </c>
    </row>
    <row r="107" spans="2:8">
      <c r="E107" s="82" t="str">
        <f>IF('All Periods'!E107="","",'All Periods'!E107)</f>
        <v/>
      </c>
      <c r="F107" s="96">
        <f>SUMIFS(FlatDataset[Amount (ILS)],FlatDataset[Name],E107,FlatDataset[Date],"&gt;="&amp;C$3,FlatDataset[Date],"&lt;="&amp;C$4)</f>
        <v>0</v>
      </c>
      <c r="G107" s="91">
        <f>'All Periods'!G107</f>
        <v>0</v>
      </c>
    </row>
    <row r="108" spans="2:8">
      <c r="E108" s="82" t="str">
        <f>IF('All Periods'!E108="","",'All Periods'!E108)</f>
        <v/>
      </c>
      <c r="F108" s="96">
        <f>SUMIFS(FlatDataset[Amount (ILS)],FlatDataset[Name],E108,FlatDataset[Date],"&gt;="&amp;C$3,FlatDataset[Date],"&lt;="&amp;C$4)</f>
        <v>0</v>
      </c>
      <c r="G108" s="91">
        <f>'All Periods'!G108</f>
        <v>0</v>
      </c>
    </row>
    <row r="109" spans="2:8">
      <c r="E109" s="82" t="str">
        <f>IF('All Periods'!E109="","",'All Periods'!E109)</f>
        <v/>
      </c>
      <c r="F109" s="96">
        <f>SUMIFS(FlatDataset[Amount (ILS)],FlatDataset[Name],E109,FlatDataset[Date],"&gt;="&amp;C$3,FlatDataset[Date],"&lt;="&amp;C$4)</f>
        <v>0</v>
      </c>
      <c r="G109" s="91">
        <f>'All Periods'!G109</f>
        <v>0</v>
      </c>
    </row>
    <row r="110" spans="2:8">
      <c r="E110" s="82" t="str">
        <f>IF('All Periods'!E110="","",'All Periods'!E110)</f>
        <v/>
      </c>
      <c r="F110" s="96">
        <f>SUMIFS(FlatDataset[Amount (ILS)],FlatDataset[Name],E110,FlatDataset[Date],"&gt;="&amp;C$3,FlatDataset[Date],"&lt;="&amp;C$4)</f>
        <v>0</v>
      </c>
      <c r="G110" s="91">
        <f>'All Periods'!G110</f>
        <v>0</v>
      </c>
    </row>
    <row r="111" spans="2:8">
      <c r="E111" s="82" t="str">
        <f>IF('All Periods'!E111="","",'All Periods'!E111)</f>
        <v/>
      </c>
      <c r="F111" s="96">
        <f>SUMIFS(FlatDataset[Amount (ILS)],FlatDataset[Name],E111,FlatDataset[Date],"&gt;="&amp;C$3,FlatDataset[Date],"&lt;="&amp;C$4)</f>
        <v>0</v>
      </c>
      <c r="G111" s="91">
        <f>'All Periods'!G111</f>
        <v>0</v>
      </c>
    </row>
    <row r="112" spans="2:8">
      <c r="E112" s="82" t="str">
        <f>IF('All Periods'!E112="","",'All Periods'!E112)</f>
        <v/>
      </c>
      <c r="F112" s="96">
        <f>SUMIFS(FlatDataset[Amount (ILS)],FlatDataset[Name],E112,FlatDataset[Date],"&gt;="&amp;C$3,FlatDataset[Date],"&lt;="&amp;C$4)</f>
        <v>0</v>
      </c>
      <c r="G112" s="91">
        <f>'All Periods'!G112</f>
        <v>0</v>
      </c>
    </row>
    <row r="113" spans="5:6">
      <c r="F113" s="96"/>
    </row>
    <row r="115" spans="5:6">
      <c r="E115" s="117" t="s">
        <v>40</v>
      </c>
      <c r="F115" s="96"/>
    </row>
    <row r="116" spans="5:6">
      <c r="F116" s="96"/>
    </row>
    <row r="117" spans="5:6">
      <c r="E117" s="82" t="s">
        <v>55</v>
      </c>
      <c r="F117" s="96">
        <f>SUMIFS(FlatDataset[Amount (ILS)],FlatDataset[Payment method],E117,FlatDataset[Date],"&gt;="&amp;C$3,FlatDataset[Date],"&lt;="&amp;$C$4)</f>
        <v>0</v>
      </c>
    </row>
    <row r="118" spans="5:6">
      <c r="E118" s="82" t="s">
        <v>58</v>
      </c>
      <c r="F118" s="96">
        <f>SUMIFS(FlatDataset[Amount (ILS)],FlatDataset[Payment method],E118,FlatDataset[Date],"&gt;="&amp;C$3,FlatDataset[Date],"&lt;="&amp;$C$4)</f>
        <v>7850</v>
      </c>
    </row>
    <row r="119" spans="5:6">
      <c r="E119" s="82"/>
    </row>
    <row r="121" spans="5:6">
      <c r="E121" s="77" t="s">
        <v>59</v>
      </c>
    </row>
    <row r="122" spans="5:6">
      <c r="E122" s="82" t="str">
        <f>'All Periods'!E126</f>
        <v>מעמ אירופה</v>
      </c>
      <c r="F122" s="96">
        <f>SUMIFS(FlatDataset[Amount (ILS)],FlatDataset[Name],E122,FlatDataset[Date],"&gt;="&amp;C$3,FlatDataset[Date],"&lt;="&amp;C$4)</f>
        <v>4370</v>
      </c>
    </row>
    <row r="123" spans="5:6">
      <c r="E123" s="82">
        <f>'All Periods'!E127</f>
        <v>0</v>
      </c>
      <c r="F123" s="96">
        <f>SUMIFS(FlatDataset[Amount (ILS)],FlatDataset[Name],E123,FlatDataset[Date],"&gt;="&amp;C$3,FlatDataset[Date],"&lt;="&amp;C$4)</f>
        <v>0</v>
      </c>
    </row>
    <row r="124" spans="5:6">
      <c r="E124" s="14">
        <f>'All Periods'!E128</f>
        <v>0</v>
      </c>
      <c r="F124" s="96">
        <f>SUMIFS(FlatDataset[Amount (ILS)],FlatDataset[Name],E124,FlatDataset[Date],"&gt;="&amp;C$3,FlatDataset[Date],"&lt;="&amp;C$4)</f>
        <v>0</v>
      </c>
    </row>
    <row r="125" spans="5:6">
      <c r="E125" s="79">
        <f>'All Periods'!E129</f>
        <v>0</v>
      </c>
      <c r="F125" s="96">
        <f>SUMIFS(FlatDataset[Amount (ILS)],FlatDataset[Name],E125,FlatDataset[Date],"&gt;="&amp;C$3,FlatDataset[Date],"&lt;="&amp;C$4)</f>
        <v>0</v>
      </c>
    </row>
    <row r="126" spans="5:6">
      <c r="E126" s="82">
        <f>'All Periods'!E130</f>
        <v>0</v>
      </c>
      <c r="F126" s="96">
        <f>SUMIFS(FlatDataset[Amount (ILS)],FlatDataset[Name],E126,FlatDataset[Date],"&gt;="&amp;C$3,FlatDataset[Date],"&lt;="&amp;C$4)</f>
        <v>0</v>
      </c>
    </row>
    <row r="127" spans="5:6">
      <c r="E127" s="82">
        <f>'All Periods'!E131</f>
        <v>0</v>
      </c>
      <c r="F127" s="96">
        <f>SUMIFS(FlatDataset[Amount (ILS)],FlatDataset[Name],E127,FlatDataset[Date],"&gt;="&amp;C$3,FlatDataset[Date],"&lt;="&amp;C$4)</f>
        <v>0</v>
      </c>
    </row>
    <row r="128" spans="5:6">
      <c r="E128" s="82">
        <f>'All Periods'!E132</f>
        <v>0</v>
      </c>
      <c r="F128" s="96">
        <f>SUMIFS(FlatDataset[Amount (ILS)],FlatDataset[Name],E128,FlatDataset[Date],"&gt;="&amp;C$3,FlatDataset[Date],"&lt;="&amp;C$4)</f>
        <v>0</v>
      </c>
    </row>
    <row r="129" spans="2:6">
      <c r="E129" s="82">
        <f>'All Periods'!E133</f>
        <v>0</v>
      </c>
      <c r="F129" s="96">
        <f>SUMIFS(FlatDataset[Amount (ILS)],FlatDataset[Name],E129,FlatDataset[Date],"&gt;="&amp;C$3,FlatDataset[Date],"&lt;="&amp;C$4)</f>
        <v>0</v>
      </c>
    </row>
    <row r="130" spans="2:6">
      <c r="E130" s="82">
        <f>'All Periods'!E134</f>
        <v>0</v>
      </c>
      <c r="F130" s="96">
        <f>SUMIFS(FlatDataset[Amount (ILS)],FlatDataset[Name],E130,FlatDataset[Date],"&gt;="&amp;C$3,FlatDataset[Date],"&lt;="&amp;C$4)</f>
        <v>0</v>
      </c>
    </row>
    <row r="133" spans="2:6">
      <c r="F133" s="96"/>
    </row>
    <row r="134" spans="2:6">
      <c r="F134" s="96"/>
    </row>
    <row r="135" spans="2:6" ht="15.75" thickBot="1">
      <c r="B135" s="127" t="s">
        <v>42</v>
      </c>
      <c r="C135" s="121">
        <f>SUM(C42,C45,C46,C51,C53)</f>
        <v>-386260</v>
      </c>
      <c r="E135" s="127" t="s">
        <v>30</v>
      </c>
      <c r="F135" s="121">
        <f>SUM(F37:F134)-SUMIF(G37:G134,"x",F37:F134)+F31+F23</f>
        <v>272420</v>
      </c>
    </row>
    <row r="139" spans="2:6" ht="15.75" thickBot="1">
      <c r="B139" s="115" t="s">
        <v>43</v>
      </c>
      <c r="C139" s="116">
        <f>SUM(C135,-F135)</f>
        <v>-658680</v>
      </c>
    </row>
    <row r="140" spans="2:6" ht="15.75" thickTop="1"/>
  </sheetData>
  <conditionalFormatting sqref="C84">
    <cfRule type="cellIs" dxfId="32" priority="25" operator="lessThan">
      <formula>0</formula>
    </cfRule>
    <cfRule type="cellIs" dxfId="31" priority="26" operator="greaterThan">
      <formula>0</formula>
    </cfRule>
  </conditionalFormatting>
  <conditionalFormatting sqref="C139">
    <cfRule type="cellIs" dxfId="30" priority="22" operator="lessThan">
      <formula>0</formula>
    </cfRule>
    <cfRule type="cellIs" dxfId="29" priority="23" operator="greaterThan">
      <formula>0</formula>
    </cfRule>
  </conditionalFormatting>
  <conditionalFormatting sqref="C88"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C33">
    <cfRule type="cellIs" dxfId="26" priority="18" operator="lessThan">
      <formula>0</formula>
    </cfRule>
    <cfRule type="cellIs" dxfId="25" priority="19" operator="greaterThan">
      <formula>0</formula>
    </cfRule>
  </conditionalFormatting>
  <conditionalFormatting sqref="E125">
    <cfRule type="duplicateValues" dxfId="24" priority="1"/>
  </conditionalFormatting>
  <conditionalFormatting sqref="E46">
    <cfRule type="duplicateValues" dxfId="23" priority="3"/>
  </conditionalFormatting>
  <conditionalFormatting sqref="E61">
    <cfRule type="duplicateValues" dxfId="22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3:L140"/>
  <sheetViews>
    <sheetView showGridLines="0" rightToLeft="1" zoomScale="90" zoomScaleNormal="90" workbookViewId="0"/>
  </sheetViews>
  <sheetFormatPr defaultColWidth="9.140625" defaultRowHeight="15"/>
  <cols>
    <col min="1" max="1" width="5.85546875" style="14" customWidth="1"/>
    <col min="2" max="2" width="28.42578125" style="14" customWidth="1"/>
    <col min="3" max="3" width="13.7109375" style="14" customWidth="1"/>
    <col min="4" max="4" width="6.28515625" style="82" customWidth="1"/>
    <col min="5" max="5" width="36.42578125" style="14" customWidth="1"/>
    <col min="6" max="6" width="13" style="29" customWidth="1"/>
    <col min="7" max="7" width="4.7109375" style="91" customWidth="1"/>
    <col min="8" max="8" width="3.28515625" style="14" customWidth="1"/>
    <col min="9" max="11" width="13.7109375" style="82" customWidth="1"/>
    <col min="12" max="14" width="13.7109375" style="14" customWidth="1"/>
    <col min="15" max="16384" width="9.140625" style="14"/>
  </cols>
  <sheetData>
    <row r="3" spans="1:12">
      <c r="B3" s="14" t="s">
        <v>24</v>
      </c>
      <c r="C3" s="129">
        <f>Forecast5!C4+1</f>
        <v>42186</v>
      </c>
    </row>
    <row r="4" spans="1:12">
      <c r="B4" s="14" t="s">
        <v>25</v>
      </c>
      <c r="C4" s="93">
        <v>42216</v>
      </c>
    </row>
    <row r="5" spans="1:12">
      <c r="I5" s="95"/>
      <c r="J5" s="95"/>
      <c r="K5" s="95"/>
      <c r="L5" s="24"/>
    </row>
    <row r="8" spans="1:12">
      <c r="C8" s="96"/>
      <c r="F8" s="96"/>
      <c r="H8" s="91"/>
    </row>
    <row r="9" spans="1:12">
      <c r="B9" s="97" t="s">
        <v>35</v>
      </c>
      <c r="C9" s="98"/>
      <c r="D9" s="84"/>
      <c r="E9" s="99" t="s">
        <v>19</v>
      </c>
      <c r="F9" s="100"/>
      <c r="G9" s="101"/>
      <c r="H9" s="101"/>
    </row>
    <row r="10" spans="1:12">
      <c r="B10" s="102"/>
      <c r="C10" s="103"/>
      <c r="D10" s="83"/>
      <c r="E10" s="102"/>
      <c r="F10" s="103"/>
      <c r="G10" s="104"/>
      <c r="H10" s="104"/>
    </row>
    <row r="11" spans="1:12">
      <c r="A11" s="24"/>
      <c r="B11" s="46" t="s">
        <v>5</v>
      </c>
      <c r="C11" s="105"/>
      <c r="D11" s="83"/>
      <c r="E11" s="106" t="s">
        <v>63</v>
      </c>
      <c r="F11" s="107"/>
      <c r="G11" s="104"/>
      <c r="H11" s="104"/>
    </row>
    <row r="12" spans="1:12">
      <c r="B12" s="14" t="str">
        <f>'All Periods'!B22</f>
        <v>הזרמה 5</v>
      </c>
      <c r="C12" s="108">
        <f>'All Periods'!C22</f>
        <v>0</v>
      </c>
      <c r="E12" s="82" t="str">
        <f>IF('All Periods'!E12="","",'All Periods'!E12)</f>
        <v>הלוואות - דיסקונט</v>
      </c>
      <c r="F12" s="96">
        <f>SUMIFS(FlatDataset[Amount (ILS)],FlatDataset[Payment method],E12,FlatDataset[Date],"&gt;="&amp;C$3,FlatDataset[Date],"&lt;="&amp;$C$4)</f>
        <v>8000</v>
      </c>
      <c r="H12" s="91"/>
    </row>
    <row r="13" spans="1:12">
      <c r="B13" s="15" t="s">
        <v>84</v>
      </c>
      <c r="C13" s="96">
        <f>Forecast5!C139</f>
        <v>-658680</v>
      </c>
      <c r="E13" s="82" t="str">
        <f>IF('All Periods'!E13="","",'All Periods'!E13)</f>
        <v>צ'ק - דיסקונט</v>
      </c>
      <c r="F13" s="96">
        <f>SUMIFS(FlatDataset[Amount (ILS)],FlatDataset[Payment method],E13,FlatDataset[Date],"&gt;="&amp;C$3,FlatDataset[Date],"&lt;="&amp;$C$4)</f>
        <v>4500</v>
      </c>
      <c r="H13" s="91"/>
    </row>
    <row r="14" spans="1:12">
      <c r="B14" s="76"/>
      <c r="C14" s="103"/>
      <c r="E14" s="82" t="str">
        <f>IF('All Periods'!E14="","",'All Periods'!E14)</f>
        <v/>
      </c>
      <c r="F14" s="96">
        <f>SUMIFS(FlatDataset[Amount (ILS)],FlatDataset[Payment method],E14,FlatDataset[Date],"&gt;="&amp;C$3,FlatDataset[Date],"&lt;="&amp;$C$4)</f>
        <v>0</v>
      </c>
      <c r="H14" s="91"/>
    </row>
    <row r="15" spans="1:12">
      <c r="B15" s="76"/>
      <c r="C15" s="103"/>
      <c r="E15" s="82" t="str">
        <f>IF('All Periods'!E15="","",'All Periods'!E15)</f>
        <v/>
      </c>
      <c r="F15" s="96">
        <f>SUMIFS(FlatDataset[Amount (ILS)],FlatDataset[Payment method],E15,FlatDataset[Date],"&gt;="&amp;C$3,FlatDataset[Date],"&lt;="&amp;$C$4)</f>
        <v>0</v>
      </c>
      <c r="H15" s="91"/>
    </row>
    <row r="16" spans="1:12">
      <c r="B16" s="76"/>
      <c r="C16" s="108"/>
      <c r="E16" s="82" t="str">
        <f>IF('All Periods'!E16="","",'All Periods'!E16)</f>
        <v/>
      </c>
      <c r="F16" s="96">
        <f>SUMIFS(FlatDataset[Amount (ILS)],FlatDataset[Payment method],E16,FlatDataset[Date],"&gt;="&amp;C$3,FlatDataset[Date],"&lt;="&amp;$C$4)</f>
        <v>0</v>
      </c>
      <c r="H16" s="91"/>
    </row>
    <row r="17" spans="2:11">
      <c r="E17" s="82" t="str">
        <f>IF('All Periods'!E17="","",'All Periods'!E17)</f>
        <v/>
      </c>
      <c r="F17" s="96">
        <f>SUMIFS(FlatDataset[Amount (ILS)],FlatDataset[Payment method],E17,FlatDataset[Date],"&gt;="&amp;C$3,FlatDataset[Date],"&lt;="&amp;$C$4)</f>
        <v>0</v>
      </c>
      <c r="H17" s="91"/>
    </row>
    <row r="18" spans="2:11" s="102" customFormat="1">
      <c r="B18" s="5"/>
      <c r="C18" s="133"/>
      <c r="D18" s="83"/>
      <c r="E18" s="82" t="str">
        <f>IF('All Periods'!E18="","",'All Periods'!E18)</f>
        <v/>
      </c>
      <c r="F18" s="96">
        <f>SUMIFS(FlatDataset[Amount (ILS)],FlatDataset[Payment method],E18,FlatDataset[Date],"&gt;="&amp;C$3,FlatDataset[Date],"&lt;="&amp;$C$4)</f>
        <v>0</v>
      </c>
      <c r="G18" s="104"/>
      <c r="H18" s="104"/>
      <c r="I18" s="83"/>
      <c r="J18" s="83"/>
      <c r="K18" s="83"/>
    </row>
    <row r="19" spans="2:11" s="102" customFormat="1">
      <c r="D19" s="83"/>
      <c r="E19" s="82" t="str">
        <f>IF('All Periods'!E19="","",'All Periods'!E19)</f>
        <v/>
      </c>
      <c r="F19" s="96">
        <f>SUMIFS(FlatDataset[Amount (ILS)],FlatDataset[Payment method],E19,FlatDataset[Date],"&gt;="&amp;C$3,FlatDataset[Date],"&lt;="&amp;$C$4)</f>
        <v>0</v>
      </c>
      <c r="G19" s="104"/>
      <c r="H19" s="104"/>
      <c r="I19" s="83"/>
      <c r="J19" s="83"/>
      <c r="K19" s="83"/>
    </row>
    <row r="20" spans="2:11">
      <c r="E20" s="82" t="str">
        <f>IF('All Periods'!E20="","",'All Periods'!E20)</f>
        <v/>
      </c>
      <c r="F20" s="96">
        <f>SUMIFS(FlatDataset[Amount (ILS)],FlatDataset[Payment method],E20,FlatDataset[Date],"&gt;="&amp;C$3,FlatDataset[Date],"&lt;="&amp;$C$4)</f>
        <v>0</v>
      </c>
      <c r="H20" s="91"/>
    </row>
    <row r="21" spans="2:11">
      <c r="E21" s="82" t="str">
        <f>IF('All Periods'!E21="","",'All Periods'!E21)</f>
        <v/>
      </c>
      <c r="F21" s="96">
        <f>SUMIFS(FlatDataset[Amount (ILS)],FlatDataset[Payment method],E21,FlatDataset[Date],"&gt;="&amp;C$3,FlatDataset[Date],"&lt;="&amp;$C$4)</f>
        <v>0</v>
      </c>
      <c r="H21" s="91"/>
    </row>
    <row r="22" spans="2:11">
      <c r="E22" s="82" t="str">
        <f>IF('All Periods'!E22="","",'All Periods'!E22)</f>
        <v/>
      </c>
      <c r="F22" s="96">
        <f>SUMIFS(FlatDataset[Amount (ILS)],FlatDataset[Payment method],E22,FlatDataset[Date],"&gt;="&amp;C$3,FlatDataset[Date],"&lt;="&amp;$C$4)</f>
        <v>0</v>
      </c>
      <c r="H22" s="91"/>
    </row>
    <row r="23" spans="2:11" ht="15.75" thickBot="1">
      <c r="B23" s="112" t="s">
        <v>41</v>
      </c>
      <c r="C23" s="113">
        <f>SUM(C12:C19)-SUMIFS(C12:C19,D12:D19,"x")</f>
        <v>-658680</v>
      </c>
      <c r="E23" s="112" t="s">
        <v>65</v>
      </c>
      <c r="F23" s="113">
        <f>SUM(F12:F22)-SUMIFS(F12:F22,G12:G22,"x")</f>
        <v>12500</v>
      </c>
      <c r="H23" s="91"/>
    </row>
    <row r="24" spans="2:11">
      <c r="H24" s="91"/>
    </row>
    <row r="25" spans="2:11">
      <c r="B25" s="106" t="s">
        <v>32</v>
      </c>
      <c r="C25" s="107"/>
      <c r="E25" s="106" t="s">
        <v>64</v>
      </c>
      <c r="F25" s="107"/>
      <c r="H25" s="91"/>
    </row>
    <row r="26" spans="2:11">
      <c r="C26" s="96"/>
      <c r="E26" s="82" t="str">
        <f>IF('All Periods'!E27="","",'All Periods'!E27)</f>
        <v>הלוואות - מזרחי</v>
      </c>
      <c r="F26" s="96">
        <f>SUMIFS(FlatDataset[Amount (ILS)],FlatDataset[Payment method],E26,FlatDataset[Date],"&gt;="&amp;C$3,FlatDataset[Date],"&lt;="&amp;$C$4)</f>
        <v>8000</v>
      </c>
      <c r="H26" s="91"/>
    </row>
    <row r="27" spans="2:11">
      <c r="B27" s="15"/>
      <c r="C27" s="108"/>
      <c r="E27" s="82" t="str">
        <f>IF('All Periods'!E28="","",'All Periods'!E28)</f>
        <v>צ'ק - מזרחי</v>
      </c>
      <c r="F27" s="96">
        <f>SUMIFS(FlatDataset[Amount (ILS)],FlatDataset[Payment method],E27,FlatDataset[Date],"&gt;="&amp;C$3,FlatDataset[Date],"&lt;="&amp;$C$4)</f>
        <v>1000</v>
      </c>
      <c r="H27" s="91"/>
    </row>
    <row r="28" spans="2:11">
      <c r="B28" s="76"/>
      <c r="C28" s="103"/>
      <c r="E28" s="82" t="str">
        <f>IF('All Periods'!E29="","",'All Periods'!E29)</f>
        <v>הוראות קבע - מזרחי</v>
      </c>
      <c r="F28" s="96">
        <f>SUMIFS(FlatDataset[Amount (ILS)],FlatDataset[Payment method],E28,FlatDataset[Date],"&gt;="&amp;C$3,FlatDataset[Date],"&lt;="&amp;$C$4)</f>
        <v>0</v>
      </c>
      <c r="H28" s="91"/>
    </row>
    <row r="29" spans="2:11">
      <c r="B29" s="76"/>
      <c r="C29" s="103"/>
      <c r="E29" s="82" t="str">
        <f>IF('All Periods'!E30="","",'All Periods'!E30)</f>
        <v/>
      </c>
      <c r="F29" s="96">
        <f>SUMIFS(FlatDataset[Amount (ILS)],FlatDataset[Payment method],E29,FlatDataset[Date],"&gt;="&amp;C$3,FlatDataset[Date],"&lt;="&amp;$C$4)</f>
        <v>0</v>
      </c>
      <c r="H29" s="91"/>
    </row>
    <row r="30" spans="2:11">
      <c r="C30" s="103"/>
      <c r="E30" s="82" t="str">
        <f>IF('All Periods'!E31="","",'All Periods'!E31)</f>
        <v/>
      </c>
      <c r="F30" s="96">
        <f>SUMIFS(FlatDataset[Amount (ILS)],FlatDataset[Payment method],E30,FlatDataset[Date],"&gt;="&amp;C$3,FlatDataset[Date],"&lt;="&amp;$C$4)</f>
        <v>0</v>
      </c>
      <c r="H30" s="91"/>
    </row>
    <row r="31" spans="2:11" ht="15.75" thickBot="1">
      <c r="B31" s="112" t="s">
        <v>39</v>
      </c>
      <c r="C31" s="113">
        <f>SUM(C26:C30)</f>
        <v>0</v>
      </c>
      <c r="E31" s="112" t="s">
        <v>65</v>
      </c>
      <c r="F31" s="113">
        <f>SUM(F26:F30)-SUMIFS(F26:F30,G26:G30,"x")</f>
        <v>9000</v>
      </c>
      <c r="H31" s="91"/>
    </row>
    <row r="32" spans="2:11">
      <c r="H32" s="91"/>
    </row>
    <row r="33" spans="2:8" ht="15.75" thickBot="1">
      <c r="B33" s="115" t="s">
        <v>66</v>
      </c>
      <c r="C33" s="116">
        <f>SUM(C31,C23)-SUM(F31,F23)</f>
        <v>-680180</v>
      </c>
      <c r="H33" s="91"/>
    </row>
    <row r="34" spans="2:8" ht="15.75" thickTop="1">
      <c r="H34" s="91"/>
    </row>
    <row r="35" spans="2:8">
      <c r="H35" s="91"/>
    </row>
    <row r="36" spans="2:8">
      <c r="B36" s="145"/>
      <c r="C36" s="62"/>
      <c r="H36" s="91"/>
    </row>
    <row r="37" spans="2:8">
      <c r="B37" s="76"/>
      <c r="C37" s="62"/>
      <c r="E37" s="117" t="s">
        <v>37</v>
      </c>
      <c r="F37" s="96"/>
      <c r="H37" s="91"/>
    </row>
    <row r="38" spans="2:8">
      <c r="B38" s="76"/>
      <c r="C38" s="62"/>
      <c r="E38" s="82" t="str">
        <f>IF('All Periods'!E39="","",'All Periods'!E39)</f>
        <v>משכורות</v>
      </c>
      <c r="F38" s="96">
        <f>SUMIFS(FlatDataset[Amount (ILS)],FlatDataset[Name],E38,FlatDataset[Date],"&gt;="&amp;C$3,FlatDataset[Date],"&lt;="&amp;C$4)</f>
        <v>100000</v>
      </c>
      <c r="G38" s="91">
        <f>'All Periods'!G39</f>
        <v>0</v>
      </c>
      <c r="H38" s="104"/>
    </row>
    <row r="39" spans="2:8">
      <c r="B39" s="5"/>
      <c r="C39" s="133"/>
      <c r="E39" s="82" t="str">
        <f>IF('All Periods'!E40="","",'All Periods'!E40)</f>
        <v>ביטוח לאומי</v>
      </c>
      <c r="F39" s="96">
        <f>SUMIFS(FlatDataset[Amount (ILS)],FlatDataset[Name],E39,FlatDataset[Date],"&gt;="&amp;C$3,FlatDataset[Date],"&lt;="&amp;C$4)</f>
        <v>20000</v>
      </c>
      <c r="G39" s="91">
        <f>'All Periods'!G40</f>
        <v>0</v>
      </c>
      <c r="H39" s="104"/>
    </row>
    <row r="40" spans="2:8">
      <c r="E40" s="82" t="str">
        <f>IF('All Periods'!E41="","",'All Periods'!E41)</f>
        <v>מס הכנסה - ניכוי במקור משכורות</v>
      </c>
      <c r="F40" s="96">
        <f>SUMIFS(FlatDataset[Amount (ILS)],FlatDataset[Name],E40,FlatDataset[Date],"&gt;="&amp;C$3,FlatDataset[Date],"&lt;="&amp;C$4)</f>
        <v>20000</v>
      </c>
      <c r="G40" s="91">
        <f>'All Periods'!G41</f>
        <v>0</v>
      </c>
      <c r="H40" s="104"/>
    </row>
    <row r="41" spans="2:8">
      <c r="B41" s="15"/>
      <c r="C41" s="96"/>
      <c r="E41" s="82" t="str">
        <f>IF('All Periods'!E42="","",'All Periods'!E42)</f>
        <v>קופות פנסיה</v>
      </c>
      <c r="F41" s="96">
        <f>SUMIFS(FlatDataset[Amount (ILS)],FlatDataset[Name],E41,FlatDataset[Date],"&gt;="&amp;C$3,FlatDataset[Date],"&lt;="&amp;C$4)</f>
        <v>30000</v>
      </c>
      <c r="G41" s="91">
        <f>'All Periods'!G42</f>
        <v>0</v>
      </c>
      <c r="H41" s="104"/>
    </row>
    <row r="42" spans="2:8" ht="15.75" thickBot="1">
      <c r="B42" s="120" t="s">
        <v>61</v>
      </c>
      <c r="C42" s="121">
        <f>SUM(C31,C23)</f>
        <v>-658680</v>
      </c>
      <c r="E42" s="82" t="str">
        <f>IF('All Periods'!E43="","",'All Periods'!E43)</f>
        <v>מעמ ישראל</v>
      </c>
      <c r="F42" s="96">
        <f>SUMIFS(FlatDataset[Amount (ILS)],FlatDataset[Name],E42,FlatDataset[Date],"&gt;="&amp;C$3,FlatDataset[Date],"&lt;="&amp;C$4)</f>
        <v>10000</v>
      </c>
      <c r="G42" s="91">
        <f>'All Periods'!G43</f>
        <v>0</v>
      </c>
      <c r="H42" s="104"/>
    </row>
    <row r="43" spans="2:8">
      <c r="B43" s="122"/>
      <c r="E43" s="82" t="str">
        <f>IF('All Periods'!E44="","",'All Periods'!E44)</f>
        <v>משכורות - אירופה</v>
      </c>
      <c r="F43" s="96">
        <f>SUMIFS(FlatDataset[Amount (ILS)],FlatDataset[Name],E43,FlatDataset[Date],"&gt;="&amp;C$3,FlatDataset[Date],"&lt;="&amp;C$4)</f>
        <v>21850</v>
      </c>
      <c r="G43" s="91">
        <f>'All Periods'!G44</f>
        <v>0</v>
      </c>
      <c r="H43" s="104"/>
    </row>
    <row r="44" spans="2:8">
      <c r="B44" s="14" t="s">
        <v>104</v>
      </c>
      <c r="C44" s="108">
        <f>SUMIFS('צ''קים בקופה'!C:C,'צ''קים בקופה'!E:E,"&lt;="&amp;end_date6+183,'צ''קים בקופה'!E:E,"&gt;="&amp;start_date6+183)</f>
        <v>0</v>
      </c>
      <c r="E44" s="82" t="str">
        <f>IF('All Periods'!E45="","",'All Periods'!E45)</f>
        <v/>
      </c>
      <c r="F44" s="96">
        <f>SUMIFS(FlatDataset[Amount (ILS)],FlatDataset[Name],E44,FlatDataset[Date],"&gt;="&amp;C$3,FlatDataset[Date],"&lt;="&amp;C$4)</f>
        <v>0</v>
      </c>
      <c r="G44" s="91">
        <f>'All Periods'!G45</f>
        <v>0</v>
      </c>
      <c r="H44" s="104"/>
    </row>
    <row r="45" spans="2:8">
      <c r="B45" s="138" t="s">
        <v>78</v>
      </c>
      <c r="C45" s="109">
        <v>100000</v>
      </c>
      <c r="E45" s="82"/>
      <c r="F45" s="96">
        <f>SUMIFS(FlatDataset[Amount (ILS)],FlatDataset[Name],E45,FlatDataset[Date],"&gt;="&amp;C$3,FlatDataset[Date],"&lt;="&amp;C$4)</f>
        <v>0</v>
      </c>
      <c r="H45" s="91"/>
    </row>
    <row r="46" spans="2:8">
      <c r="B46" s="26"/>
      <c r="C46" s="62"/>
      <c r="E46" s="124" t="s">
        <v>79</v>
      </c>
      <c r="F46" s="126"/>
      <c r="G46" s="104"/>
      <c r="H46" s="91"/>
    </row>
    <row r="47" spans="2:8">
      <c r="E47" s="82" t="str">
        <f>IF('All Periods'!E48="","",'All Periods'!E48)</f>
        <v>ספק א</v>
      </c>
      <c r="F47" s="96">
        <f>SUMIFS(FlatDataset[Amount (ILS)],FlatDataset[Name],E47,FlatDataset[Date],"&gt;="&amp;C$3,FlatDataset[Date],"&lt;="&amp;C$4)</f>
        <v>5000</v>
      </c>
      <c r="G47" s="104">
        <f>'All Periods'!G48</f>
        <v>0</v>
      </c>
      <c r="H47" s="91"/>
    </row>
    <row r="48" spans="2:8">
      <c r="E48" s="82" t="str">
        <f>IF('All Periods'!E49="","",'All Periods'!E49)</f>
        <v>ספק ב</v>
      </c>
      <c r="F48" s="96">
        <f>SUMIFS(FlatDataset[Amount (ILS)],FlatDataset[Name],E48,FlatDataset[Date],"&gt;="&amp;C$3,FlatDataset[Date],"&lt;="&amp;C$4)</f>
        <v>0</v>
      </c>
      <c r="G48" s="104">
        <f>'All Periods'!G49</f>
        <v>0</v>
      </c>
      <c r="H48" s="91"/>
    </row>
    <row r="49" spans="2:8">
      <c r="B49" s="140"/>
      <c r="C49" s="141"/>
      <c r="E49" s="82" t="str">
        <f>IF('All Periods'!E50="","",'All Periods'!E50)</f>
        <v>ספק ג</v>
      </c>
      <c r="F49" s="96">
        <f>SUMIFS(FlatDataset[Amount (ILS)],FlatDataset[Name],E49,FlatDataset[Date],"&gt;="&amp;C$3,FlatDataset[Date],"&lt;="&amp;C$4)</f>
        <v>13110</v>
      </c>
      <c r="G49" s="104">
        <f>'All Periods'!G50</f>
        <v>0</v>
      </c>
      <c r="H49" s="91"/>
    </row>
    <row r="50" spans="2:8">
      <c r="B50" s="140"/>
      <c r="C50" s="142"/>
      <c r="E50" s="82" t="str">
        <f>IF('All Periods'!E51="","",'All Periods'!E51)</f>
        <v>ספק ד</v>
      </c>
      <c r="F50" s="96">
        <f>SUMIFS(FlatDataset[Amount (ILS)],FlatDataset[Name],E50,FlatDataset[Date],"&gt;="&amp;C$3,FlatDataset[Date],"&lt;="&amp;C$4)</f>
        <v>3465</v>
      </c>
      <c r="G50" s="104">
        <f>'All Periods'!G51</f>
        <v>0</v>
      </c>
      <c r="H50" s="91"/>
    </row>
    <row r="51" spans="2:8">
      <c r="B51" s="143"/>
      <c r="C51" s="141"/>
      <c r="E51" s="82" t="str">
        <f>IF('All Periods'!E52="","",'All Periods'!E52)</f>
        <v/>
      </c>
      <c r="F51" s="96">
        <f>SUMIFS(FlatDataset[Amount (ILS)],FlatDataset[Name],E51,FlatDataset[Date],"&gt;="&amp;C$3,FlatDataset[Date],"&lt;="&amp;C$4)</f>
        <v>0</v>
      </c>
      <c r="G51" s="104">
        <f>'All Periods'!G52</f>
        <v>0</v>
      </c>
      <c r="H51" s="91"/>
    </row>
    <row r="52" spans="2:8">
      <c r="E52" s="82" t="str">
        <f>IF('All Periods'!E53="","",'All Periods'!E53)</f>
        <v/>
      </c>
      <c r="F52" s="96">
        <f>SUMIFS(FlatDataset[Amount (ILS)],FlatDataset[Name],E52,FlatDataset[Date],"&gt;="&amp;C$3,FlatDataset[Date],"&lt;="&amp;C$4)</f>
        <v>0</v>
      </c>
      <c r="G52" s="104">
        <f>'All Periods'!G53</f>
        <v>0</v>
      </c>
      <c r="H52" s="91"/>
    </row>
    <row r="53" spans="2:8">
      <c r="C53" s="17"/>
      <c r="E53" s="82" t="str">
        <f>IF('All Periods'!E54="","",'All Periods'!E54)</f>
        <v/>
      </c>
      <c r="F53" s="96">
        <f>SUMIFS(FlatDataset[Amount (ILS)],FlatDataset[Name],E53,FlatDataset[Date],"&gt;="&amp;C$3,FlatDataset[Date],"&lt;="&amp;C$4)</f>
        <v>0</v>
      </c>
      <c r="G53" s="104">
        <f>'All Periods'!G54</f>
        <v>0</v>
      </c>
      <c r="H53" s="91"/>
    </row>
    <row r="54" spans="2:8">
      <c r="E54" s="82" t="str">
        <f>IF('All Periods'!E55="","",'All Periods'!E55)</f>
        <v/>
      </c>
      <c r="F54" s="96">
        <f>SUMIFS(FlatDataset[Amount (ILS)],FlatDataset[Name],E54,FlatDataset[Date],"&gt;="&amp;C$3,FlatDataset[Date],"&lt;="&amp;C$4)</f>
        <v>0</v>
      </c>
      <c r="G54" s="104">
        <f>'All Periods'!G55</f>
        <v>0</v>
      </c>
      <c r="H54" s="91"/>
    </row>
    <row r="55" spans="2:8">
      <c r="E55" s="82" t="str">
        <f>IF('All Periods'!E56="","",'All Periods'!E56)</f>
        <v/>
      </c>
      <c r="F55" s="96">
        <f>SUMIFS(FlatDataset[Amount (ILS)],FlatDataset[Name],E55,FlatDataset[Date],"&gt;="&amp;C$3,FlatDataset[Date],"&lt;="&amp;C$4)</f>
        <v>0</v>
      </c>
      <c r="G55" s="104">
        <f>'All Periods'!G56</f>
        <v>0</v>
      </c>
      <c r="H55" s="91"/>
    </row>
    <row r="56" spans="2:8">
      <c r="E56" s="82" t="str">
        <f>IF('All Periods'!E57="","",'All Periods'!E57)</f>
        <v/>
      </c>
      <c r="F56" s="96">
        <f>SUMIFS(FlatDataset[Amount (ILS)],FlatDataset[Name],E56,FlatDataset[Date],"&gt;="&amp;C$3,FlatDataset[Date],"&lt;="&amp;C$4)</f>
        <v>0</v>
      </c>
      <c r="G56" s="104">
        <f>'All Periods'!G57</f>
        <v>0</v>
      </c>
      <c r="H56" s="91"/>
    </row>
    <row r="57" spans="2:8">
      <c r="E57" s="82" t="str">
        <f>IF('All Periods'!E58="","",'All Periods'!E58)</f>
        <v/>
      </c>
      <c r="F57" s="96">
        <f>SUMIFS(FlatDataset[Amount (ILS)],FlatDataset[Name],E57,FlatDataset[Date],"&gt;="&amp;C$3,FlatDataset[Date],"&lt;="&amp;C$4)</f>
        <v>0</v>
      </c>
      <c r="G57" s="104">
        <f>'All Periods'!G58</f>
        <v>0</v>
      </c>
      <c r="H57" s="91"/>
    </row>
    <row r="58" spans="2:8">
      <c r="E58" s="82" t="str">
        <f>IF('All Periods'!E59="","",'All Periods'!E59)</f>
        <v/>
      </c>
      <c r="F58" s="96">
        <f>SUMIFS(FlatDataset[Amount (ILS)],FlatDataset[Name],E58,FlatDataset[Date],"&gt;="&amp;C$3,FlatDataset[Date],"&lt;="&amp;C$4)</f>
        <v>0</v>
      </c>
      <c r="G58" s="104">
        <f>'All Periods'!G59</f>
        <v>0</v>
      </c>
      <c r="H58" s="91"/>
    </row>
    <row r="59" spans="2:8">
      <c r="H59" s="91"/>
    </row>
    <row r="60" spans="2:8">
      <c r="E60" s="82"/>
      <c r="F60" s="96"/>
      <c r="H60" s="91"/>
    </row>
    <row r="61" spans="2:8">
      <c r="E61" s="124" t="s">
        <v>21</v>
      </c>
      <c r="F61" s="96"/>
      <c r="H61" s="91"/>
    </row>
    <row r="62" spans="2:8">
      <c r="E62" s="82" t="str">
        <f>IF('All Periods'!E62="","",'All Periods'!E62)</f>
        <v>חוב לספק א</v>
      </c>
      <c r="F62" s="96">
        <f>SUMIFS(FlatDataset[Amount (ILS)],FlatDataset[Name],E62,FlatDataset[Date],"&gt;="&amp;C$3,FlatDataset[Date],"&lt;="&amp;C$4)</f>
        <v>10000</v>
      </c>
      <c r="G62" s="91">
        <f>'All Periods'!G62</f>
        <v>0</v>
      </c>
      <c r="H62" s="91"/>
    </row>
    <row r="63" spans="2:8">
      <c r="E63" s="82" t="str">
        <f>IF('All Periods'!E63="","",'All Periods'!E63)</f>
        <v>חוב לספק ב</v>
      </c>
      <c r="F63" s="96">
        <f>SUMIFS(FlatDataset[Amount (ILS)],FlatDataset[Name],E63,FlatDataset[Date],"&gt;="&amp;C$3,FlatDataset[Date],"&lt;="&amp;C$4)</f>
        <v>8740</v>
      </c>
      <c r="G63" s="91">
        <f>'All Periods'!G63</f>
        <v>0</v>
      </c>
      <c r="H63" s="91"/>
    </row>
    <row r="64" spans="2:8">
      <c r="E64" s="82" t="str">
        <f>IF('All Periods'!E64="","",'All Periods'!E64)</f>
        <v>חוב לספק ג</v>
      </c>
      <c r="F64" s="96">
        <f>SUMIFS(FlatDataset[Amount (ILS)],FlatDataset[Name],E64,FlatDataset[Date],"&gt;="&amp;C$3,FlatDataset[Date],"&lt;="&amp;C$4)</f>
        <v>0</v>
      </c>
      <c r="G64" s="91">
        <f>'All Periods'!G64</f>
        <v>0</v>
      </c>
      <c r="H64" s="91"/>
    </row>
    <row r="65" spans="5:8">
      <c r="E65" s="82" t="str">
        <f>IF('All Periods'!E65="","",'All Periods'!E65)</f>
        <v>חוב לספק ד</v>
      </c>
      <c r="F65" s="96">
        <f>SUMIFS(FlatDataset[Amount (ILS)],FlatDataset[Name],E65,FlatDataset[Date],"&gt;="&amp;C$3,FlatDataset[Date],"&lt;="&amp;C$4)</f>
        <v>0</v>
      </c>
      <c r="G65" s="91">
        <f>'All Periods'!G65</f>
        <v>0</v>
      </c>
      <c r="H65" s="91"/>
    </row>
    <row r="66" spans="5:8">
      <c r="E66" s="82" t="str">
        <f>IF('All Periods'!E66="","",'All Periods'!E66)</f>
        <v/>
      </c>
      <c r="F66" s="96">
        <f>SUMIFS(FlatDataset[Amount (ILS)],FlatDataset[Name],E66,FlatDataset[Date],"&gt;="&amp;C$3,FlatDataset[Date],"&lt;="&amp;C$4)</f>
        <v>0</v>
      </c>
      <c r="G66" s="91">
        <f>'All Periods'!G66</f>
        <v>0</v>
      </c>
      <c r="H66" s="91"/>
    </row>
    <row r="67" spans="5:8">
      <c r="E67" s="82" t="str">
        <f>IF('All Periods'!E67="","",'All Periods'!E67)</f>
        <v/>
      </c>
      <c r="F67" s="96">
        <f>SUMIFS(FlatDataset[Amount (ILS)],FlatDataset[Name],E67,FlatDataset[Date],"&gt;="&amp;C$3,FlatDataset[Date],"&lt;="&amp;C$4)</f>
        <v>0</v>
      </c>
      <c r="G67" s="91">
        <f>'All Periods'!G67</f>
        <v>0</v>
      </c>
      <c r="H67" s="91"/>
    </row>
    <row r="68" spans="5:8">
      <c r="E68" s="82" t="str">
        <f>IF('All Periods'!E68="","",'All Periods'!E68)</f>
        <v/>
      </c>
      <c r="F68" s="96">
        <f>SUMIFS(FlatDataset[Amount (ILS)],FlatDataset[Name],E68,FlatDataset[Date],"&gt;="&amp;C$3,FlatDataset[Date],"&lt;="&amp;C$4)</f>
        <v>0</v>
      </c>
      <c r="G68" s="91">
        <f>'All Periods'!G68</f>
        <v>0</v>
      </c>
      <c r="H68" s="91"/>
    </row>
    <row r="69" spans="5:8">
      <c r="E69" s="82" t="str">
        <f>IF('All Periods'!E69="","",'All Periods'!E69)</f>
        <v/>
      </c>
      <c r="F69" s="96">
        <f>SUMIFS(FlatDataset[Amount (ILS)],FlatDataset[Name],E69,FlatDataset[Date],"&gt;="&amp;C$3,FlatDataset[Date],"&lt;="&amp;C$4)</f>
        <v>0</v>
      </c>
      <c r="G69" s="91">
        <f>'All Periods'!G69</f>
        <v>0</v>
      </c>
      <c r="H69" s="91"/>
    </row>
    <row r="70" spans="5:8">
      <c r="E70" s="82" t="str">
        <f>IF('All Periods'!E70="","",'All Periods'!E70)</f>
        <v/>
      </c>
      <c r="F70" s="96">
        <f>SUMIFS(FlatDataset[Amount (ILS)],FlatDataset[Name],E70,FlatDataset[Date],"&gt;="&amp;C$3,FlatDataset[Date],"&lt;="&amp;C$4)</f>
        <v>0</v>
      </c>
      <c r="G70" s="91">
        <f>'All Periods'!G70</f>
        <v>0</v>
      </c>
      <c r="H70" s="91"/>
    </row>
    <row r="71" spans="5:8">
      <c r="E71" s="82" t="str">
        <f>IF('All Periods'!E71="","",'All Periods'!E71)</f>
        <v/>
      </c>
      <c r="F71" s="96">
        <f>SUMIFS(FlatDataset[Amount (ILS)],FlatDataset[Name],E71,FlatDataset[Date],"&gt;="&amp;C$3,FlatDataset[Date],"&lt;="&amp;C$4)</f>
        <v>0</v>
      </c>
      <c r="G71" s="91">
        <f>'All Periods'!G71</f>
        <v>0</v>
      </c>
      <c r="H71" s="91"/>
    </row>
    <row r="72" spans="5:8">
      <c r="E72" s="82" t="str">
        <f>IF('All Periods'!E72="","",'All Periods'!E72)</f>
        <v/>
      </c>
      <c r="F72" s="96">
        <f>SUMIFS(FlatDataset[Amount (ILS)],FlatDataset[Name],E72,FlatDataset[Date],"&gt;="&amp;C$3,FlatDataset[Date],"&lt;="&amp;C$4)</f>
        <v>0</v>
      </c>
      <c r="G72" s="91">
        <f>'All Periods'!G72</f>
        <v>0</v>
      </c>
      <c r="H72" s="91"/>
    </row>
    <row r="73" spans="5:8">
      <c r="E73" s="82" t="str">
        <f>IF('All Periods'!E73="","",'All Periods'!E73)</f>
        <v/>
      </c>
      <c r="F73" s="96">
        <f>SUMIFS(FlatDataset[Amount (ILS)],FlatDataset[Name],E73,FlatDataset[Date],"&gt;="&amp;C$3,FlatDataset[Date],"&lt;="&amp;C$4)</f>
        <v>0</v>
      </c>
      <c r="G73" s="91">
        <f>'All Periods'!G73</f>
        <v>0</v>
      </c>
      <c r="H73" s="91"/>
    </row>
    <row r="74" spans="5:8">
      <c r="E74" s="82" t="str">
        <f>IF('All Periods'!E74="","",'All Periods'!E74)</f>
        <v/>
      </c>
      <c r="F74" s="96">
        <f>SUMIFS(FlatDataset[Amount (ILS)],FlatDataset[Name],E74,FlatDataset[Date],"&gt;="&amp;C$3,FlatDataset[Date],"&lt;="&amp;C$4)</f>
        <v>0</v>
      </c>
      <c r="G74" s="91">
        <f>'All Periods'!G74</f>
        <v>0</v>
      </c>
      <c r="H74" s="91"/>
    </row>
    <row r="75" spans="5:8">
      <c r="E75" s="82" t="str">
        <f>IF('All Periods'!E75="","",'All Periods'!E75)</f>
        <v/>
      </c>
      <c r="F75" s="96">
        <f>SUMIFS(FlatDataset[Amount (ILS)],FlatDataset[Name],E75,FlatDataset[Date],"&gt;="&amp;C$3,FlatDataset[Date],"&lt;="&amp;C$4)</f>
        <v>0</v>
      </c>
      <c r="G75" s="91">
        <f>'All Periods'!G75</f>
        <v>0</v>
      </c>
      <c r="H75" s="91"/>
    </row>
    <row r="76" spans="5:8">
      <c r="E76" s="82" t="str">
        <f>IF('All Periods'!E76="","",'All Periods'!E76)</f>
        <v/>
      </c>
      <c r="F76" s="96">
        <f>SUMIFS(FlatDataset[Amount (ILS)],FlatDataset[Name],E76,FlatDataset[Date],"&gt;="&amp;C$3,FlatDataset[Date],"&lt;="&amp;C$4)</f>
        <v>0</v>
      </c>
      <c r="G76" s="91">
        <f>'All Periods'!G76</f>
        <v>0</v>
      </c>
    </row>
    <row r="77" spans="5:8">
      <c r="E77" s="82" t="str">
        <f>IF('All Periods'!E77="","",'All Periods'!E77)</f>
        <v/>
      </c>
      <c r="F77" s="96">
        <f>SUMIFS(FlatDataset[Amount (ILS)],FlatDataset[Name],E77,FlatDataset[Date],"&gt;="&amp;C$3,FlatDataset[Date],"&lt;="&amp;C$4)</f>
        <v>0</v>
      </c>
      <c r="G77" s="91">
        <f>'All Periods'!G77</f>
        <v>0</v>
      </c>
    </row>
    <row r="78" spans="5:8">
      <c r="E78" s="82" t="str">
        <f>IF('All Periods'!E78="","",'All Periods'!E78)</f>
        <v/>
      </c>
      <c r="F78" s="96">
        <f>SUMIFS(FlatDataset[Amount (ILS)],FlatDataset[Name],E78,FlatDataset[Date],"&gt;="&amp;C$3,FlatDataset[Date],"&lt;="&amp;C$4)</f>
        <v>0</v>
      </c>
      <c r="G78" s="91">
        <f>'All Periods'!G78</f>
        <v>0</v>
      </c>
    </row>
    <row r="79" spans="5:8">
      <c r="E79" s="82" t="str">
        <f>IF('All Periods'!E79="","",'All Periods'!E79)</f>
        <v/>
      </c>
      <c r="F79" s="96">
        <f>SUMIFS(FlatDataset[Amount (ILS)],FlatDataset[Name],E79,FlatDataset[Date],"&gt;="&amp;C$3,FlatDataset[Date],"&lt;="&amp;C$4)</f>
        <v>0</v>
      </c>
      <c r="G79" s="91">
        <f>'All Periods'!G79</f>
        <v>0</v>
      </c>
      <c r="H79" s="91"/>
    </row>
    <row r="80" spans="5:8">
      <c r="E80" s="82" t="str">
        <f>IF('All Periods'!E80="","",'All Periods'!E80)</f>
        <v/>
      </c>
      <c r="F80" s="96">
        <f>SUMIFS(FlatDataset[Amount (ILS)],FlatDataset[Name],E80,FlatDataset[Date],"&gt;="&amp;C$3,FlatDataset[Date],"&lt;="&amp;C$4)</f>
        <v>0</v>
      </c>
      <c r="G80" s="91">
        <f>'All Periods'!G80</f>
        <v>0</v>
      </c>
      <c r="H80" s="91"/>
    </row>
    <row r="81" spans="2:8">
      <c r="E81" s="82" t="str">
        <f>IF('All Periods'!E81="","",'All Periods'!E81)</f>
        <v/>
      </c>
      <c r="F81" s="96">
        <f>SUMIFS(FlatDataset[Amount (ILS)],FlatDataset[Name],E81,FlatDataset[Date],"&gt;="&amp;C$3,FlatDataset[Date],"&lt;="&amp;C$4)</f>
        <v>0</v>
      </c>
      <c r="G81" s="91">
        <f>'All Periods'!G81</f>
        <v>0</v>
      </c>
      <c r="H81" s="91"/>
    </row>
    <row r="82" spans="2:8">
      <c r="E82" s="82" t="str">
        <f>IF('All Periods'!E82="","",'All Periods'!E82)</f>
        <v/>
      </c>
      <c r="F82" s="96">
        <f>SUMIFS(FlatDataset[Amount (ILS)],FlatDataset[Name],E82,FlatDataset[Date],"&gt;="&amp;C$3,FlatDataset[Date],"&lt;="&amp;C$4)</f>
        <v>0</v>
      </c>
      <c r="G82" s="91">
        <f>'All Periods'!G82</f>
        <v>0</v>
      </c>
      <c r="H82" s="91"/>
    </row>
    <row r="83" spans="2:8">
      <c r="E83" s="82" t="str">
        <f>IF('All Periods'!E83="","",'All Periods'!E83)</f>
        <v/>
      </c>
      <c r="F83" s="96">
        <f>SUMIFS(FlatDataset[Amount (ILS)],FlatDataset[Name],E83,FlatDataset[Date],"&gt;="&amp;C$3,FlatDataset[Date],"&lt;="&amp;C$4)</f>
        <v>0</v>
      </c>
      <c r="G83" s="91">
        <f>'All Periods'!G83</f>
        <v>0</v>
      </c>
      <c r="H83" s="91"/>
    </row>
    <row r="84" spans="2:8">
      <c r="B84" s="15"/>
      <c r="C84" s="108"/>
      <c r="E84" s="82" t="str">
        <f>IF('All Periods'!E84="","",'All Periods'!E84)</f>
        <v/>
      </c>
      <c r="F84" s="96">
        <f>SUMIFS(FlatDataset[Amount (ILS)],FlatDataset[Name],E84,FlatDataset[Date],"&gt;="&amp;C$3,FlatDataset[Date],"&lt;="&amp;C$4)</f>
        <v>0</v>
      </c>
      <c r="G84" s="91">
        <f>'All Periods'!G84</f>
        <v>0</v>
      </c>
      <c r="H84" s="91"/>
    </row>
    <row r="85" spans="2:8">
      <c r="B85" s="15"/>
      <c r="C85" s="108"/>
      <c r="E85" s="82" t="str">
        <f>IF('All Periods'!E85="","",'All Periods'!E85)</f>
        <v/>
      </c>
      <c r="F85" s="96">
        <f>SUMIFS(FlatDataset[Amount (ILS)],FlatDataset[Name],E85,FlatDataset[Date],"&gt;="&amp;C$3,FlatDataset[Date],"&lt;="&amp;C$4)</f>
        <v>0</v>
      </c>
      <c r="G85" s="91">
        <f>'All Periods'!G85</f>
        <v>0</v>
      </c>
      <c r="H85" s="91"/>
    </row>
    <row r="86" spans="2:8">
      <c r="B86" s="15"/>
      <c r="C86" s="15"/>
      <c r="E86" s="82" t="str">
        <f>IF('All Periods'!E86="","",'All Periods'!E86)</f>
        <v/>
      </c>
      <c r="F86" s="96">
        <f>SUMIFS(FlatDataset[Amount (ILS)],FlatDataset[Name],E86,FlatDataset[Date],"&gt;="&amp;C$3,FlatDataset[Date],"&lt;="&amp;C$4)</f>
        <v>0</v>
      </c>
      <c r="G86" s="91">
        <f>'All Periods'!G86</f>
        <v>0</v>
      </c>
      <c r="H86" s="91"/>
    </row>
    <row r="87" spans="2:8">
      <c r="B87" s="15"/>
      <c r="C87" s="62"/>
      <c r="E87" s="82" t="str">
        <f>IF('All Periods'!E87="","",'All Periods'!E87)</f>
        <v/>
      </c>
      <c r="F87" s="96">
        <f>SUMIFS(FlatDataset[Amount (ILS)],FlatDataset[Name],E87,FlatDataset[Date],"&gt;="&amp;C$3,FlatDataset[Date],"&lt;="&amp;C$4)</f>
        <v>0</v>
      </c>
      <c r="G87" s="91">
        <f>'All Periods'!G87</f>
        <v>0</v>
      </c>
      <c r="H87" s="91"/>
    </row>
    <row r="88" spans="2:8">
      <c r="B88" s="41"/>
      <c r="C88" s="125"/>
      <c r="E88" s="82" t="str">
        <f>IF('All Periods'!E88="","",'All Periods'!E88)</f>
        <v/>
      </c>
      <c r="F88" s="96">
        <f>SUMIFS(FlatDataset[Amount (ILS)],FlatDataset[Name],E88,FlatDataset[Date],"&gt;="&amp;C$3,FlatDataset[Date],"&lt;="&amp;C$4)</f>
        <v>0</v>
      </c>
      <c r="G88" s="91">
        <f>'All Periods'!G88</f>
        <v>0</v>
      </c>
      <c r="H88" s="91"/>
    </row>
    <row r="89" spans="2:8">
      <c r="C89" s="103"/>
      <c r="E89" s="82" t="str">
        <f>IF('All Periods'!E89="","",'All Periods'!E89)</f>
        <v/>
      </c>
      <c r="F89" s="96">
        <f>SUMIFS(FlatDataset[Amount (ILS)],FlatDataset[Name],E89,FlatDataset[Date],"&gt;="&amp;C$3,FlatDataset[Date],"&lt;="&amp;C$4)</f>
        <v>0</v>
      </c>
      <c r="G89" s="91">
        <f>'All Periods'!G89</f>
        <v>0</v>
      </c>
      <c r="H89" s="91"/>
    </row>
    <row r="90" spans="2:8">
      <c r="E90" s="82" t="str">
        <f>IF('All Periods'!E90="","",'All Periods'!E90)</f>
        <v/>
      </c>
      <c r="F90" s="96">
        <f>SUMIFS(FlatDataset[Amount (ILS)],FlatDataset[Name],E90,FlatDataset[Date],"&gt;="&amp;C$3,FlatDataset[Date],"&lt;="&amp;C$4)</f>
        <v>0</v>
      </c>
      <c r="G90" s="91">
        <f>'All Periods'!G90</f>
        <v>0</v>
      </c>
      <c r="H90" s="91"/>
    </row>
    <row r="91" spans="2:8">
      <c r="E91" s="82" t="str">
        <f>IF('All Periods'!E91="","",'All Periods'!E91)</f>
        <v/>
      </c>
      <c r="F91" s="96">
        <f>SUMIFS(FlatDataset[Amount (ILS)],FlatDataset[Name],E91,FlatDataset[Date],"&gt;="&amp;C$3,FlatDataset[Date],"&lt;="&amp;C$4)</f>
        <v>0</v>
      </c>
      <c r="G91" s="91">
        <f>'All Periods'!G91</f>
        <v>0</v>
      </c>
      <c r="H91" s="91"/>
    </row>
    <row r="92" spans="2:8">
      <c r="E92" s="82" t="str">
        <f>IF('All Periods'!E92="","",'All Periods'!E92)</f>
        <v/>
      </c>
      <c r="F92" s="96">
        <f>SUMIFS(FlatDataset[Amount (ILS)],FlatDataset[Name],E92,FlatDataset[Date],"&gt;="&amp;C$3,FlatDataset[Date],"&lt;="&amp;C$4)</f>
        <v>0</v>
      </c>
      <c r="G92" s="91">
        <f>'All Periods'!G92</f>
        <v>0</v>
      </c>
      <c r="H92" s="91"/>
    </row>
    <row r="93" spans="2:8">
      <c r="E93" s="82" t="str">
        <f>IF('All Periods'!E93="","",'All Periods'!E93)</f>
        <v/>
      </c>
      <c r="F93" s="96">
        <f>SUMIFS(FlatDataset[Amount (ILS)],FlatDataset[Name],E93,FlatDataset[Date],"&gt;="&amp;C$3,FlatDataset[Date],"&lt;="&amp;C$4)</f>
        <v>0</v>
      </c>
      <c r="G93" s="91">
        <f>'All Periods'!G93</f>
        <v>0</v>
      </c>
      <c r="H93" s="91"/>
    </row>
    <row r="94" spans="2:8">
      <c r="E94" s="82" t="str">
        <f>IF('All Periods'!E94="","",'All Periods'!E94)</f>
        <v/>
      </c>
      <c r="F94" s="96">
        <f>SUMIFS(FlatDataset[Amount (ILS)],FlatDataset[Name],E94,FlatDataset[Date],"&gt;="&amp;C$3,FlatDataset[Date],"&lt;="&amp;C$4)</f>
        <v>0</v>
      </c>
      <c r="G94" s="91">
        <f>'All Periods'!G94</f>
        <v>0</v>
      </c>
      <c r="H94" s="91"/>
    </row>
    <row r="95" spans="2:8">
      <c r="D95" s="81"/>
      <c r="E95" s="82" t="str">
        <f>IF('All Periods'!E95="","",'All Periods'!E95)</f>
        <v/>
      </c>
      <c r="F95" s="96">
        <f>SUMIFS(FlatDataset[Amount (ILS)],FlatDataset[Name],E95,FlatDataset[Date],"&gt;="&amp;C$3,FlatDataset[Date],"&lt;="&amp;C$4)</f>
        <v>0</v>
      </c>
      <c r="G95" s="91">
        <f>'All Periods'!G95</f>
        <v>0</v>
      </c>
      <c r="H95" s="91"/>
    </row>
    <row r="96" spans="2:8">
      <c r="C96" s="96"/>
      <c r="E96" s="82" t="str">
        <f>IF('All Periods'!E96="","",'All Periods'!E96)</f>
        <v/>
      </c>
      <c r="F96" s="96">
        <f>SUMIFS(FlatDataset[Amount (ILS)],FlatDataset[Name],E96,FlatDataset[Date],"&gt;="&amp;C$3,FlatDataset[Date],"&lt;="&amp;C$4)</f>
        <v>0</v>
      </c>
      <c r="G96" s="91">
        <f>'All Periods'!G96</f>
        <v>0</v>
      </c>
      <c r="H96" s="91"/>
    </row>
    <row r="97" spans="2:8">
      <c r="E97" s="82" t="str">
        <f>IF('All Periods'!E97="","",'All Periods'!E97)</f>
        <v/>
      </c>
      <c r="F97" s="96">
        <f>SUMIFS(FlatDataset[Amount (ILS)],FlatDataset[Name],E97,FlatDataset[Date],"&gt;="&amp;C$3,FlatDataset[Date],"&lt;="&amp;C$4)</f>
        <v>0</v>
      </c>
      <c r="G97" s="91">
        <f>'All Periods'!G97</f>
        <v>0</v>
      </c>
      <c r="H97" s="91"/>
    </row>
    <row r="98" spans="2:8">
      <c r="C98" s="96"/>
      <c r="E98" s="82" t="str">
        <f>IF('All Periods'!E98="","",'All Periods'!E98)</f>
        <v/>
      </c>
      <c r="F98" s="96">
        <f>SUMIFS(FlatDataset[Amount (ILS)],FlatDataset[Name],E98,FlatDataset[Date],"&gt;="&amp;C$3,FlatDataset[Date],"&lt;="&amp;C$4)</f>
        <v>0</v>
      </c>
      <c r="G98" s="91">
        <f>'All Periods'!G98</f>
        <v>0</v>
      </c>
      <c r="H98" s="91"/>
    </row>
    <row r="99" spans="2:8">
      <c r="C99" s="96"/>
      <c r="E99" s="82" t="str">
        <f>IF('All Periods'!E99="","",'All Periods'!E99)</f>
        <v/>
      </c>
      <c r="F99" s="96">
        <f>SUMIFS(FlatDataset[Amount (ILS)],FlatDataset[Name],E99,FlatDataset[Date],"&gt;="&amp;C$3,FlatDataset[Date],"&lt;="&amp;C$4)</f>
        <v>0</v>
      </c>
      <c r="G99" s="91">
        <f>'All Periods'!G99</f>
        <v>0</v>
      </c>
      <c r="H99" s="91"/>
    </row>
    <row r="100" spans="2:8">
      <c r="B100" s="26"/>
      <c r="C100" s="126"/>
      <c r="E100" s="82" t="str">
        <f>IF('All Periods'!E100="","",'All Periods'!E100)</f>
        <v/>
      </c>
      <c r="F100" s="96">
        <f>SUMIFS(FlatDataset[Amount (ILS)],FlatDataset[Name],E100,FlatDataset[Date],"&gt;="&amp;C$3,FlatDataset[Date],"&lt;="&amp;C$4)</f>
        <v>0</v>
      </c>
      <c r="G100" s="91">
        <f>'All Periods'!G100</f>
        <v>0</v>
      </c>
      <c r="H100" s="91"/>
    </row>
    <row r="101" spans="2:8">
      <c r="C101" s="96"/>
      <c r="E101" s="82" t="str">
        <f>IF('All Periods'!E101="","",'All Periods'!E101)</f>
        <v/>
      </c>
      <c r="F101" s="96">
        <f>SUMIFS(FlatDataset[Amount (ILS)],FlatDataset[Name],E101,FlatDataset[Date],"&gt;="&amp;C$3,FlatDataset[Date],"&lt;="&amp;C$4)</f>
        <v>0</v>
      </c>
      <c r="G101" s="91">
        <f>'All Periods'!G101</f>
        <v>0</v>
      </c>
      <c r="H101" s="91"/>
    </row>
    <row r="102" spans="2:8">
      <c r="B102" s="26"/>
      <c r="C102" s="126"/>
      <c r="E102" s="82" t="str">
        <f>IF('All Periods'!E102="","",'All Periods'!E102)</f>
        <v/>
      </c>
      <c r="F102" s="96">
        <f>SUMIFS(FlatDataset[Amount (ILS)],FlatDataset[Name],E102,FlatDataset[Date],"&gt;="&amp;C$3,FlatDataset[Date],"&lt;="&amp;C$4)</f>
        <v>0</v>
      </c>
      <c r="G102" s="91">
        <f>'All Periods'!G102</f>
        <v>0</v>
      </c>
      <c r="H102" s="91"/>
    </row>
    <row r="103" spans="2:8">
      <c r="C103" s="96"/>
      <c r="E103" s="82" t="str">
        <f>IF('All Periods'!E103="","",'All Periods'!E103)</f>
        <v/>
      </c>
      <c r="F103" s="96">
        <f>SUMIFS(FlatDataset[Amount (ILS)],FlatDataset[Name],E103,FlatDataset[Date],"&gt;="&amp;C$3,FlatDataset[Date],"&lt;="&amp;C$4)</f>
        <v>0</v>
      </c>
      <c r="G103" s="91">
        <f>'All Periods'!G103</f>
        <v>0</v>
      </c>
      <c r="H103" s="91"/>
    </row>
    <row r="104" spans="2:8">
      <c r="C104" s="96"/>
      <c r="E104" s="82" t="str">
        <f>IF('All Periods'!E104="","",'All Periods'!E104)</f>
        <v/>
      </c>
      <c r="F104" s="96">
        <f>SUMIFS(FlatDataset[Amount (ILS)],FlatDataset[Name],E104,FlatDataset[Date],"&gt;="&amp;C$3,FlatDataset[Date],"&lt;="&amp;C$4)</f>
        <v>0</v>
      </c>
      <c r="G104" s="91">
        <f>'All Periods'!G104</f>
        <v>0</v>
      </c>
    </row>
    <row r="105" spans="2:8">
      <c r="E105" s="82" t="str">
        <f>IF('All Periods'!E105="","",'All Periods'!E105)</f>
        <v/>
      </c>
      <c r="F105" s="96">
        <f>SUMIFS(FlatDataset[Amount (ILS)],FlatDataset[Name],E105,FlatDataset[Date],"&gt;="&amp;C$3,FlatDataset[Date],"&lt;="&amp;C$4)</f>
        <v>0</v>
      </c>
      <c r="G105" s="91">
        <f>'All Periods'!G105</f>
        <v>0</v>
      </c>
    </row>
    <row r="106" spans="2:8">
      <c r="E106" s="82" t="str">
        <f>IF('All Periods'!E106="","",'All Periods'!E106)</f>
        <v/>
      </c>
      <c r="F106" s="96">
        <f>SUMIFS(FlatDataset[Amount (ILS)],FlatDataset[Name],E106,FlatDataset[Date],"&gt;="&amp;C$3,FlatDataset[Date],"&lt;="&amp;C$4)</f>
        <v>0</v>
      </c>
      <c r="G106" s="91">
        <f>'All Periods'!G106</f>
        <v>0</v>
      </c>
    </row>
    <row r="107" spans="2:8">
      <c r="E107" s="82" t="str">
        <f>IF('All Periods'!E107="","",'All Periods'!E107)</f>
        <v/>
      </c>
      <c r="F107" s="96">
        <f>SUMIFS(FlatDataset[Amount (ILS)],FlatDataset[Name],E107,FlatDataset[Date],"&gt;="&amp;C$3,FlatDataset[Date],"&lt;="&amp;C$4)</f>
        <v>0</v>
      </c>
      <c r="G107" s="91">
        <f>'All Periods'!G107</f>
        <v>0</v>
      </c>
    </row>
    <row r="108" spans="2:8">
      <c r="E108" s="82" t="str">
        <f>IF('All Periods'!E108="","",'All Periods'!E108)</f>
        <v/>
      </c>
      <c r="F108" s="96">
        <f>SUMIFS(FlatDataset[Amount (ILS)],FlatDataset[Name],E108,FlatDataset[Date],"&gt;="&amp;C$3,FlatDataset[Date],"&lt;="&amp;C$4)</f>
        <v>0</v>
      </c>
      <c r="G108" s="91">
        <f>'All Periods'!G108</f>
        <v>0</v>
      </c>
    </row>
    <row r="109" spans="2:8">
      <c r="E109" s="82" t="str">
        <f>IF('All Periods'!E109="","",'All Periods'!E109)</f>
        <v/>
      </c>
      <c r="F109" s="96">
        <f>SUMIFS(FlatDataset[Amount (ILS)],FlatDataset[Name],E109,FlatDataset[Date],"&gt;="&amp;C$3,FlatDataset[Date],"&lt;="&amp;C$4)</f>
        <v>0</v>
      </c>
      <c r="G109" s="91">
        <f>'All Periods'!G109</f>
        <v>0</v>
      </c>
    </row>
    <row r="110" spans="2:8">
      <c r="E110" s="82" t="str">
        <f>IF('All Periods'!E110="","",'All Periods'!E110)</f>
        <v/>
      </c>
      <c r="F110" s="96">
        <f>SUMIFS(FlatDataset[Amount (ILS)],FlatDataset[Name],E110,FlatDataset[Date],"&gt;="&amp;C$3,FlatDataset[Date],"&lt;="&amp;C$4)</f>
        <v>0</v>
      </c>
      <c r="G110" s="91">
        <f>'All Periods'!G110</f>
        <v>0</v>
      </c>
    </row>
    <row r="111" spans="2:8">
      <c r="E111" s="82" t="str">
        <f>IF('All Periods'!E111="","",'All Periods'!E111)</f>
        <v/>
      </c>
      <c r="F111" s="96">
        <f>SUMIFS(FlatDataset[Amount (ILS)],FlatDataset[Name],E111,FlatDataset[Date],"&gt;="&amp;C$3,FlatDataset[Date],"&lt;="&amp;C$4)</f>
        <v>0</v>
      </c>
      <c r="G111" s="91">
        <f>'All Periods'!G111</f>
        <v>0</v>
      </c>
    </row>
    <row r="112" spans="2:8">
      <c r="E112" s="82" t="str">
        <f>IF('All Periods'!E112="","",'All Periods'!E112)</f>
        <v/>
      </c>
      <c r="F112" s="96">
        <f>SUMIFS(FlatDataset[Amount (ILS)],FlatDataset[Name],E112,FlatDataset[Date],"&gt;="&amp;C$3,FlatDataset[Date],"&lt;="&amp;C$4)</f>
        <v>0</v>
      </c>
      <c r="G112" s="91">
        <f>'All Periods'!G112</f>
        <v>0</v>
      </c>
    </row>
    <row r="113" spans="5:6">
      <c r="F113" s="96"/>
    </row>
    <row r="115" spans="5:6">
      <c r="E115" s="117" t="s">
        <v>40</v>
      </c>
      <c r="F115" s="96"/>
    </row>
    <row r="116" spans="5:6">
      <c r="F116" s="96"/>
    </row>
    <row r="117" spans="5:6">
      <c r="E117" s="82" t="s">
        <v>55</v>
      </c>
      <c r="F117" s="96">
        <f>SUMIFS(FlatDataset[Amount (ILS)],FlatDataset[Payment method],E117,FlatDataset[Date],"&gt;="&amp;C$3,FlatDataset[Date],"&lt;="&amp;$C$4)</f>
        <v>0</v>
      </c>
    </row>
    <row r="118" spans="5:6">
      <c r="E118" s="82" t="s">
        <v>58</v>
      </c>
      <c r="F118" s="96">
        <f>SUMIFS(FlatDataset[Amount (ILS)],FlatDataset[Payment method],E118,FlatDataset[Date],"&gt;="&amp;C$3,FlatDataset[Date],"&lt;="&amp;$C$4)</f>
        <v>7850</v>
      </c>
    </row>
    <row r="119" spans="5:6">
      <c r="E119" s="82"/>
    </row>
    <row r="121" spans="5:6">
      <c r="E121" s="77" t="s">
        <v>59</v>
      </c>
    </row>
    <row r="122" spans="5:6">
      <c r="E122" s="82" t="str">
        <f>'All Periods'!E126</f>
        <v>מעמ אירופה</v>
      </c>
      <c r="F122" s="96">
        <f>SUMIFS(FlatDataset[Amount (ILS)],FlatDataset[Name],E122,FlatDataset[Date],"&gt;="&amp;C$3,FlatDataset[Date],"&lt;="&amp;C$4)</f>
        <v>4370</v>
      </c>
    </row>
    <row r="123" spans="5:6">
      <c r="E123" s="82">
        <f>'All Periods'!E127</f>
        <v>0</v>
      </c>
      <c r="F123" s="96">
        <f>SUMIFS(FlatDataset[Amount (ILS)],FlatDataset[Name],E123,FlatDataset[Date],"&gt;="&amp;C$3,FlatDataset[Date],"&lt;="&amp;C$4)</f>
        <v>0</v>
      </c>
    </row>
    <row r="124" spans="5:6">
      <c r="E124" s="14">
        <f>'All Periods'!E128</f>
        <v>0</v>
      </c>
      <c r="F124" s="96">
        <f>SUMIFS(FlatDataset[Amount (ILS)],FlatDataset[Name],E124,FlatDataset[Date],"&gt;="&amp;C$3,FlatDataset[Date],"&lt;="&amp;C$4)</f>
        <v>0</v>
      </c>
    </row>
    <row r="125" spans="5:6">
      <c r="E125" s="79">
        <f>'All Periods'!E129</f>
        <v>0</v>
      </c>
      <c r="F125" s="96">
        <f>SUMIFS(FlatDataset[Amount (ILS)],FlatDataset[Name],E125,FlatDataset[Date],"&gt;="&amp;C$3,FlatDataset[Date],"&lt;="&amp;C$4)</f>
        <v>0</v>
      </c>
    </row>
    <row r="126" spans="5:6">
      <c r="E126" s="82">
        <f>'All Periods'!E130</f>
        <v>0</v>
      </c>
      <c r="F126" s="96">
        <f>SUMIFS(FlatDataset[Amount (ILS)],FlatDataset[Name],E126,FlatDataset[Date],"&gt;="&amp;C$3,FlatDataset[Date],"&lt;="&amp;C$4)</f>
        <v>0</v>
      </c>
    </row>
    <row r="127" spans="5:6">
      <c r="E127" s="82">
        <f>'All Periods'!E131</f>
        <v>0</v>
      </c>
      <c r="F127" s="96">
        <f>SUMIFS(FlatDataset[Amount (ILS)],FlatDataset[Name],E127,FlatDataset[Date],"&gt;="&amp;C$3,FlatDataset[Date],"&lt;="&amp;C$4)</f>
        <v>0</v>
      </c>
    </row>
    <row r="128" spans="5:6">
      <c r="E128" s="82">
        <f>'All Periods'!E132</f>
        <v>0</v>
      </c>
      <c r="F128" s="96">
        <f>SUMIFS(FlatDataset[Amount (ILS)],FlatDataset[Name],E128,FlatDataset[Date],"&gt;="&amp;C$3,FlatDataset[Date],"&lt;="&amp;C$4)</f>
        <v>0</v>
      </c>
    </row>
    <row r="129" spans="2:6">
      <c r="E129" s="82">
        <f>'All Periods'!E133</f>
        <v>0</v>
      </c>
      <c r="F129" s="96">
        <f>SUMIFS(FlatDataset[Amount (ILS)],FlatDataset[Name],E129,FlatDataset[Date],"&gt;="&amp;C$3,FlatDataset[Date],"&lt;="&amp;C$4)</f>
        <v>0</v>
      </c>
    </row>
    <row r="130" spans="2:6">
      <c r="E130" s="82">
        <f>'All Periods'!E134</f>
        <v>0</v>
      </c>
      <c r="F130" s="96">
        <f>SUMIFS(FlatDataset[Amount (ILS)],FlatDataset[Name],E130,FlatDataset[Date],"&gt;="&amp;C$3,FlatDataset[Date],"&lt;="&amp;C$4)</f>
        <v>0</v>
      </c>
    </row>
    <row r="133" spans="2:6">
      <c r="F133" s="96"/>
    </row>
    <row r="134" spans="2:6">
      <c r="F134" s="96"/>
    </row>
    <row r="135" spans="2:6" ht="15.75" thickBot="1">
      <c r="B135" s="127" t="s">
        <v>42</v>
      </c>
      <c r="C135" s="121">
        <f>SUM(C42,C45,C46,C51,C53)</f>
        <v>-558680</v>
      </c>
      <c r="E135" s="127" t="s">
        <v>30</v>
      </c>
      <c r="F135" s="121">
        <f>SUM(F37:F134)-SUMIF(G37:G134,"x",F37:F134)+F31+F23</f>
        <v>275885</v>
      </c>
    </row>
    <row r="139" spans="2:6" ht="15.75" thickBot="1">
      <c r="B139" s="115" t="s">
        <v>43</v>
      </c>
      <c r="C139" s="116">
        <f>SUM(C135,-F135)</f>
        <v>-834565</v>
      </c>
    </row>
    <row r="140" spans="2:6" ht="15.75" thickTop="1"/>
  </sheetData>
  <conditionalFormatting sqref="C84"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C139">
    <cfRule type="cellIs" dxfId="19" priority="22" operator="lessThan">
      <formula>0</formula>
    </cfRule>
    <cfRule type="cellIs" dxfId="18" priority="23" operator="greaterThan">
      <formula>0</formula>
    </cfRule>
  </conditionalFormatting>
  <conditionalFormatting sqref="C88">
    <cfRule type="cellIs" dxfId="17" priority="20" operator="lessThan">
      <formula>0</formula>
    </cfRule>
    <cfRule type="cellIs" dxfId="16" priority="21" operator="greaterThan">
      <formula>0</formula>
    </cfRule>
  </conditionalFormatting>
  <conditionalFormatting sqref="C33">
    <cfRule type="cellIs" dxfId="15" priority="8" operator="lessThan">
      <formula>0</formula>
    </cfRule>
    <cfRule type="cellIs" dxfId="14" priority="9" operator="greaterThan">
      <formula>0</formula>
    </cfRule>
  </conditionalFormatting>
  <conditionalFormatting sqref="E125">
    <cfRule type="duplicateValues" dxfId="13" priority="1"/>
  </conditionalFormatting>
  <conditionalFormatting sqref="E46">
    <cfRule type="duplicateValues" dxfId="12" priority="3"/>
  </conditionalFormatting>
  <conditionalFormatting sqref="E61">
    <cfRule type="duplicateValues" dxfId="11" priority="2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3:L140"/>
  <sheetViews>
    <sheetView showGridLines="0" rightToLeft="1" zoomScale="90" zoomScaleNormal="90" workbookViewId="0">
      <selection activeCell="C3" sqref="C3"/>
    </sheetView>
  </sheetViews>
  <sheetFormatPr defaultColWidth="9.140625" defaultRowHeight="15"/>
  <cols>
    <col min="1" max="1" width="5.85546875" style="14" customWidth="1"/>
    <col min="2" max="2" width="28.42578125" style="14" customWidth="1"/>
    <col min="3" max="3" width="13.7109375" style="14" customWidth="1"/>
    <col min="4" max="4" width="6.28515625" style="82" customWidth="1"/>
    <col min="5" max="5" width="36.42578125" style="14" customWidth="1"/>
    <col min="6" max="6" width="13" style="29" customWidth="1"/>
    <col min="7" max="7" width="4.7109375" style="91" customWidth="1"/>
    <col min="8" max="8" width="3.28515625" style="14" customWidth="1"/>
    <col min="9" max="11" width="13.7109375" style="82" customWidth="1"/>
    <col min="12" max="14" width="13.7109375" style="14" customWidth="1"/>
    <col min="15" max="16384" width="9.140625" style="14"/>
  </cols>
  <sheetData>
    <row r="3" spans="1:12">
      <c r="B3" s="14" t="s">
        <v>24</v>
      </c>
      <c r="C3" s="129">
        <f>Forecast6!C4+1</f>
        <v>42217</v>
      </c>
    </row>
    <row r="4" spans="1:12">
      <c r="B4" s="14" t="s">
        <v>25</v>
      </c>
      <c r="C4" s="129">
        <f>'All Periods'!C4</f>
        <v>42247</v>
      </c>
    </row>
    <row r="5" spans="1:12">
      <c r="I5" s="95"/>
      <c r="J5" s="95"/>
      <c r="K5" s="95"/>
      <c r="L5" s="24"/>
    </row>
    <row r="8" spans="1:12">
      <c r="C8" s="96"/>
      <c r="F8" s="96"/>
      <c r="H8" s="91"/>
    </row>
    <row r="9" spans="1:12">
      <c r="B9" s="97" t="s">
        <v>35</v>
      </c>
      <c r="C9" s="98"/>
      <c r="D9" s="84"/>
      <c r="E9" s="99" t="s">
        <v>19</v>
      </c>
      <c r="F9" s="100"/>
      <c r="G9" s="101"/>
      <c r="H9" s="101"/>
    </row>
    <row r="10" spans="1:12">
      <c r="B10" s="102"/>
      <c r="C10" s="103"/>
      <c r="D10" s="83"/>
      <c r="E10" s="102"/>
      <c r="F10" s="103"/>
      <c r="G10" s="104"/>
      <c r="H10" s="104"/>
    </row>
    <row r="11" spans="1:12">
      <c r="A11" s="24"/>
      <c r="B11" s="46" t="s">
        <v>5</v>
      </c>
      <c r="C11" s="105"/>
      <c r="D11" s="83"/>
      <c r="E11" s="106" t="s">
        <v>63</v>
      </c>
      <c r="F11" s="107"/>
      <c r="G11" s="104"/>
      <c r="H11" s="104"/>
    </row>
    <row r="12" spans="1:12">
      <c r="B12" s="14" t="str">
        <f>'All Periods'!B23</f>
        <v>הזרמה 6</v>
      </c>
      <c r="C12" s="108">
        <f>'All Periods'!C23</f>
        <v>0</v>
      </c>
      <c r="E12" s="82" t="str">
        <f>IF('All Periods'!E12="","",'All Periods'!E12)</f>
        <v>הלוואות - דיסקונט</v>
      </c>
      <c r="F12" s="96">
        <f>SUMIFS(FlatDataset[Amount (ILS)],FlatDataset[Payment method],E12,FlatDataset[Date],"&gt;="&amp;C$3,FlatDataset[Date],"&lt;="&amp;$C$4)</f>
        <v>8000</v>
      </c>
      <c r="H12" s="91"/>
    </row>
    <row r="13" spans="1:12">
      <c r="B13" s="15" t="s">
        <v>84</v>
      </c>
      <c r="C13" s="96">
        <f>Forecast6!C139</f>
        <v>-834565</v>
      </c>
      <c r="E13" s="82" t="str">
        <f>IF('All Periods'!E13="","",'All Periods'!E13)</f>
        <v>צ'ק - דיסקונט</v>
      </c>
      <c r="F13" s="96">
        <f>SUMIFS(FlatDataset[Amount (ILS)],FlatDataset[Payment method],E13,FlatDataset[Date],"&gt;="&amp;C$3,FlatDataset[Date],"&lt;="&amp;$C$4)</f>
        <v>4500</v>
      </c>
      <c r="H13" s="91"/>
    </row>
    <row r="14" spans="1:12">
      <c r="B14" s="76"/>
      <c r="C14" s="103"/>
      <c r="E14" s="82" t="str">
        <f>IF('All Periods'!E14="","",'All Periods'!E14)</f>
        <v/>
      </c>
      <c r="F14" s="96">
        <f>SUMIFS(FlatDataset[Amount (ILS)],FlatDataset[Payment method],E14,FlatDataset[Date],"&gt;="&amp;C$3,FlatDataset[Date],"&lt;="&amp;$C$4)</f>
        <v>0</v>
      </c>
      <c r="H14" s="91"/>
    </row>
    <row r="15" spans="1:12">
      <c r="B15" s="76"/>
      <c r="C15" s="103"/>
      <c r="E15" s="82" t="str">
        <f>IF('All Periods'!E15="","",'All Periods'!E15)</f>
        <v/>
      </c>
      <c r="F15" s="96">
        <f>SUMIFS(FlatDataset[Amount (ILS)],FlatDataset[Payment method],E15,FlatDataset[Date],"&gt;="&amp;C$3,FlatDataset[Date],"&lt;="&amp;$C$4)</f>
        <v>0</v>
      </c>
      <c r="H15" s="91"/>
    </row>
    <row r="16" spans="1:12">
      <c r="B16" s="76"/>
      <c r="C16" s="108"/>
      <c r="E16" s="82" t="str">
        <f>IF('All Periods'!E16="","",'All Periods'!E16)</f>
        <v/>
      </c>
      <c r="F16" s="96">
        <f>SUMIFS(FlatDataset[Amount (ILS)],FlatDataset[Payment method],E16,FlatDataset[Date],"&gt;="&amp;C$3,FlatDataset[Date],"&lt;="&amp;$C$4)</f>
        <v>0</v>
      </c>
      <c r="H16" s="91"/>
    </row>
    <row r="17" spans="2:11">
      <c r="E17" s="82" t="str">
        <f>IF('All Periods'!E17="","",'All Periods'!E17)</f>
        <v/>
      </c>
      <c r="F17" s="96">
        <f>SUMIFS(FlatDataset[Amount (ILS)],FlatDataset[Payment method],E17,FlatDataset[Date],"&gt;="&amp;C$3,FlatDataset[Date],"&lt;="&amp;$C$4)</f>
        <v>0</v>
      </c>
      <c r="H17" s="91"/>
    </row>
    <row r="18" spans="2:11" s="102" customFormat="1">
      <c r="B18" s="5"/>
      <c r="C18" s="133"/>
      <c r="D18" s="83"/>
      <c r="E18" s="82" t="str">
        <f>IF('All Periods'!E18="","",'All Periods'!E18)</f>
        <v/>
      </c>
      <c r="F18" s="96">
        <f>SUMIFS(FlatDataset[Amount (ILS)],FlatDataset[Payment method],E18,FlatDataset[Date],"&gt;="&amp;C$3,FlatDataset[Date],"&lt;="&amp;$C$4)</f>
        <v>0</v>
      </c>
      <c r="G18" s="104"/>
      <c r="H18" s="104"/>
      <c r="I18" s="83"/>
      <c r="J18" s="83"/>
      <c r="K18" s="83"/>
    </row>
    <row r="19" spans="2:11" s="102" customFormat="1">
      <c r="D19" s="83"/>
      <c r="E19" s="82" t="str">
        <f>IF('All Periods'!E19="","",'All Periods'!E19)</f>
        <v/>
      </c>
      <c r="F19" s="96">
        <f>SUMIFS(FlatDataset[Amount (ILS)],FlatDataset[Payment method],E19,FlatDataset[Date],"&gt;="&amp;C$3,FlatDataset[Date],"&lt;="&amp;$C$4)</f>
        <v>0</v>
      </c>
      <c r="G19" s="104"/>
      <c r="H19" s="104"/>
      <c r="I19" s="83"/>
      <c r="J19" s="83"/>
      <c r="K19" s="83"/>
    </row>
    <row r="20" spans="2:11">
      <c r="E20" s="82" t="str">
        <f>IF('All Periods'!E20="","",'All Periods'!E20)</f>
        <v/>
      </c>
      <c r="F20" s="96">
        <f>SUMIFS(FlatDataset[Amount (ILS)],FlatDataset[Payment method],E20,FlatDataset[Date],"&gt;="&amp;C$3,FlatDataset[Date],"&lt;="&amp;$C$4)</f>
        <v>0</v>
      </c>
      <c r="H20" s="91"/>
    </row>
    <row r="21" spans="2:11">
      <c r="E21" s="82" t="str">
        <f>IF('All Periods'!E21="","",'All Periods'!E21)</f>
        <v/>
      </c>
      <c r="F21" s="96">
        <f>SUMIFS(FlatDataset[Amount (ILS)],FlatDataset[Payment method],E21,FlatDataset[Date],"&gt;="&amp;C$3,FlatDataset[Date],"&lt;="&amp;$C$4)</f>
        <v>0</v>
      </c>
      <c r="H21" s="91"/>
    </row>
    <row r="22" spans="2:11">
      <c r="E22" s="82" t="str">
        <f>IF('All Periods'!E22="","",'All Periods'!E22)</f>
        <v/>
      </c>
      <c r="F22" s="96">
        <f>SUMIFS(FlatDataset[Amount (ILS)],FlatDataset[Payment method],E22,FlatDataset[Date],"&gt;="&amp;C$3,FlatDataset[Date],"&lt;="&amp;$C$4)</f>
        <v>0</v>
      </c>
      <c r="H22" s="91"/>
    </row>
    <row r="23" spans="2:11" ht="15.75" thickBot="1">
      <c r="B23" s="112" t="s">
        <v>41</v>
      </c>
      <c r="C23" s="113">
        <f>SUM(C12:C19)-SUMIFS(C12:C19,D12:D19,"x")</f>
        <v>-834565</v>
      </c>
      <c r="E23" s="112" t="s">
        <v>65</v>
      </c>
      <c r="F23" s="113">
        <f>SUM(F12:F22)-SUMIFS(F12:F22,G12:G22,"x")</f>
        <v>12500</v>
      </c>
      <c r="H23" s="91"/>
    </row>
    <row r="24" spans="2:11">
      <c r="H24" s="91"/>
    </row>
    <row r="25" spans="2:11">
      <c r="B25" s="106" t="s">
        <v>32</v>
      </c>
      <c r="C25" s="107"/>
      <c r="E25" s="106" t="s">
        <v>64</v>
      </c>
      <c r="F25" s="107"/>
      <c r="H25" s="91"/>
    </row>
    <row r="26" spans="2:11">
      <c r="C26" s="96"/>
      <c r="E26" s="82" t="str">
        <f>IF('All Periods'!E27="","",'All Periods'!E27)</f>
        <v>הלוואות - מזרחי</v>
      </c>
      <c r="F26" s="96">
        <f>SUMIFS(FlatDataset[Amount (ILS)],FlatDataset[Payment method],E26,FlatDataset[Date],"&gt;="&amp;C$3,FlatDataset[Date],"&lt;="&amp;$C$4)</f>
        <v>5000</v>
      </c>
      <c r="H26" s="91"/>
    </row>
    <row r="27" spans="2:11">
      <c r="B27" s="15"/>
      <c r="C27" s="108"/>
      <c r="E27" s="82" t="str">
        <f>IF('All Periods'!E28="","",'All Periods'!E28)</f>
        <v>צ'ק - מזרחי</v>
      </c>
      <c r="F27" s="96">
        <f>SUMIFS(FlatDataset[Amount (ILS)],FlatDataset[Payment method],E27,FlatDataset[Date],"&gt;="&amp;C$3,FlatDataset[Date],"&lt;="&amp;$C$4)</f>
        <v>1000</v>
      </c>
      <c r="H27" s="91"/>
    </row>
    <row r="28" spans="2:11">
      <c r="B28" s="76"/>
      <c r="C28" s="103"/>
      <c r="E28" s="82" t="str">
        <f>IF('All Periods'!E29="","",'All Periods'!E29)</f>
        <v>הוראות קבע - מזרחי</v>
      </c>
      <c r="F28" s="96">
        <f>SUMIFS(FlatDataset[Amount (ILS)],FlatDataset[Payment method],E28,FlatDataset[Date],"&gt;="&amp;C$3,FlatDataset[Date],"&lt;="&amp;$C$4)</f>
        <v>0</v>
      </c>
      <c r="H28" s="91"/>
    </row>
    <row r="29" spans="2:11">
      <c r="B29" s="76"/>
      <c r="C29" s="103"/>
      <c r="E29" s="82" t="str">
        <f>IF('All Periods'!E30="","",'All Periods'!E30)</f>
        <v/>
      </c>
      <c r="F29" s="96">
        <f>SUMIFS(FlatDataset[Amount (ILS)],FlatDataset[Payment method],E29,FlatDataset[Date],"&gt;="&amp;C$3,FlatDataset[Date],"&lt;="&amp;$C$4)</f>
        <v>0</v>
      </c>
      <c r="H29" s="91"/>
    </row>
    <row r="30" spans="2:11">
      <c r="C30" s="103"/>
      <c r="E30" s="82" t="str">
        <f>IF('All Periods'!E31="","",'All Periods'!E31)</f>
        <v/>
      </c>
      <c r="F30" s="96">
        <f>SUMIFS(FlatDataset[Amount (ILS)],FlatDataset[Payment method],E30,FlatDataset[Date],"&gt;="&amp;C$3,FlatDataset[Date],"&lt;="&amp;$C$4)</f>
        <v>0</v>
      </c>
      <c r="H30" s="91"/>
    </row>
    <row r="31" spans="2:11" ht="15.75" thickBot="1">
      <c r="B31" s="112" t="s">
        <v>39</v>
      </c>
      <c r="C31" s="113">
        <f>SUM(C26:C30)</f>
        <v>0</v>
      </c>
      <c r="E31" s="112" t="s">
        <v>65</v>
      </c>
      <c r="F31" s="113">
        <f>SUM(F26:F30)-SUMIFS(F26:F30,G26:G30,"x")</f>
        <v>6000</v>
      </c>
      <c r="H31" s="91"/>
    </row>
    <row r="32" spans="2:11">
      <c r="H32" s="91"/>
    </row>
    <row r="33" spans="2:8" ht="15.75" thickBot="1">
      <c r="B33" s="115" t="s">
        <v>66</v>
      </c>
      <c r="C33" s="116">
        <f>SUM(C31,C23)-SUM(F31,F23)</f>
        <v>-853065</v>
      </c>
      <c r="H33" s="91"/>
    </row>
    <row r="34" spans="2:8" ht="15.75" thickTop="1">
      <c r="H34" s="91"/>
    </row>
    <row r="35" spans="2:8">
      <c r="H35" s="91"/>
    </row>
    <row r="36" spans="2:8">
      <c r="B36" s="145"/>
      <c r="C36" s="62"/>
      <c r="H36" s="91"/>
    </row>
    <row r="37" spans="2:8">
      <c r="B37" s="76"/>
      <c r="C37" s="62"/>
      <c r="E37" s="117" t="s">
        <v>37</v>
      </c>
      <c r="F37" s="96"/>
      <c r="H37" s="91"/>
    </row>
    <row r="38" spans="2:8">
      <c r="B38" s="76"/>
      <c r="C38" s="62"/>
      <c r="E38" s="82" t="str">
        <f>IF('All Periods'!E39="","",'All Periods'!E39)</f>
        <v>משכורות</v>
      </c>
      <c r="F38" s="96">
        <f>SUMIFS(FlatDataset[Amount (ILS)],FlatDataset[Name],E38,FlatDataset[Date],"&gt;="&amp;C$3,FlatDataset[Date],"&lt;="&amp;C$4)</f>
        <v>100000</v>
      </c>
      <c r="G38" s="91">
        <f>'All Periods'!G39</f>
        <v>0</v>
      </c>
      <c r="H38" s="104"/>
    </row>
    <row r="39" spans="2:8">
      <c r="B39" s="5"/>
      <c r="C39" s="133"/>
      <c r="E39" s="82" t="str">
        <f>IF('All Periods'!E40="","",'All Periods'!E40)</f>
        <v>ביטוח לאומי</v>
      </c>
      <c r="F39" s="96">
        <f>SUMIFS(FlatDataset[Amount (ILS)],FlatDataset[Name],E39,FlatDataset[Date],"&gt;="&amp;C$3,FlatDataset[Date],"&lt;="&amp;C$4)</f>
        <v>20000</v>
      </c>
      <c r="G39" s="91">
        <f>'All Periods'!G40</f>
        <v>0</v>
      </c>
      <c r="H39" s="104"/>
    </row>
    <row r="40" spans="2:8">
      <c r="E40" s="82" t="str">
        <f>IF('All Periods'!E41="","",'All Periods'!E41)</f>
        <v>מס הכנסה - ניכוי במקור משכורות</v>
      </c>
      <c r="F40" s="96">
        <f>SUMIFS(FlatDataset[Amount (ILS)],FlatDataset[Name],E40,FlatDataset[Date],"&gt;="&amp;C$3,FlatDataset[Date],"&lt;="&amp;C$4)</f>
        <v>20000</v>
      </c>
      <c r="G40" s="91">
        <f>'All Periods'!G41</f>
        <v>0</v>
      </c>
      <c r="H40" s="104"/>
    </row>
    <row r="41" spans="2:8">
      <c r="B41" s="15"/>
      <c r="C41" s="96"/>
      <c r="E41" s="82" t="str">
        <f>IF('All Periods'!E42="","",'All Periods'!E42)</f>
        <v>קופות פנסיה</v>
      </c>
      <c r="F41" s="96">
        <f>SUMIFS(FlatDataset[Amount (ILS)],FlatDataset[Name],E41,FlatDataset[Date],"&gt;="&amp;C$3,FlatDataset[Date],"&lt;="&amp;C$4)</f>
        <v>30000</v>
      </c>
      <c r="G41" s="91">
        <f>'All Periods'!G42</f>
        <v>0</v>
      </c>
      <c r="H41" s="104"/>
    </row>
    <row r="42" spans="2:8" ht="15.75" thickBot="1">
      <c r="B42" s="120" t="s">
        <v>61</v>
      </c>
      <c r="C42" s="121">
        <f>SUM(C31,C23)</f>
        <v>-834565</v>
      </c>
      <c r="E42" s="82" t="str">
        <f>IF('All Periods'!E43="","",'All Periods'!E43)</f>
        <v>מעמ ישראל</v>
      </c>
      <c r="F42" s="96">
        <f>SUMIFS(FlatDataset[Amount (ILS)],FlatDataset[Name],E42,FlatDataset[Date],"&gt;="&amp;C$3,FlatDataset[Date],"&lt;="&amp;C$4)</f>
        <v>10000</v>
      </c>
      <c r="G42" s="91">
        <f>'All Periods'!G43</f>
        <v>0</v>
      </c>
      <c r="H42" s="104"/>
    </row>
    <row r="43" spans="2:8">
      <c r="B43" s="122"/>
      <c r="E43" s="82" t="str">
        <f>IF('All Periods'!E44="","",'All Periods'!E44)</f>
        <v>משכורות - אירופה</v>
      </c>
      <c r="F43" s="96">
        <f>SUMIFS(FlatDataset[Amount (ILS)],FlatDataset[Name],E43,FlatDataset[Date],"&gt;="&amp;C$3,FlatDataset[Date],"&lt;="&amp;C$4)</f>
        <v>21850</v>
      </c>
      <c r="G43" s="91">
        <f>'All Periods'!G44</f>
        <v>0</v>
      </c>
      <c r="H43" s="104"/>
    </row>
    <row r="44" spans="2:8">
      <c r="B44" s="14" t="s">
        <v>104</v>
      </c>
      <c r="C44" s="108">
        <f>SUMIFS('צ''קים בקופה'!C:C,'צ''קים בקופה'!E:E,"&lt;="&amp;end_date7+183,'צ''קים בקופה'!E:E,"&gt;="&amp;start_date7+183)</f>
        <v>0</v>
      </c>
      <c r="E44" s="82" t="str">
        <f>IF('All Periods'!E45="","",'All Periods'!E45)</f>
        <v/>
      </c>
      <c r="F44" s="96">
        <f>SUMIFS(FlatDataset[Amount (ILS)],FlatDataset[Name],E44,FlatDataset[Date],"&gt;="&amp;C$3,FlatDataset[Date],"&lt;="&amp;C$4)</f>
        <v>0</v>
      </c>
      <c r="G44" s="91">
        <f>'All Periods'!G45</f>
        <v>0</v>
      </c>
      <c r="H44" s="104"/>
    </row>
    <row r="45" spans="2:8">
      <c r="B45" s="138" t="s">
        <v>78</v>
      </c>
      <c r="C45" s="109">
        <v>100000</v>
      </c>
      <c r="E45" s="82"/>
      <c r="F45" s="96">
        <f>SUMIFS(FlatDataset[Amount (ILS)],FlatDataset[Name],E45,FlatDataset[Date],"&gt;="&amp;C$3,FlatDataset[Date],"&lt;="&amp;C$4)</f>
        <v>0</v>
      </c>
      <c r="H45" s="91"/>
    </row>
    <row r="46" spans="2:8">
      <c r="B46" s="26"/>
      <c r="C46" s="62"/>
      <c r="E46" s="124" t="s">
        <v>79</v>
      </c>
      <c r="F46" s="126"/>
      <c r="G46" s="104"/>
      <c r="H46" s="91"/>
    </row>
    <row r="47" spans="2:8">
      <c r="E47" s="82" t="str">
        <f>IF('All Periods'!E48="","",'All Periods'!E48)</f>
        <v>ספק א</v>
      </c>
      <c r="F47" s="96">
        <f>SUMIFS(FlatDataset[Amount (ILS)],FlatDataset[Name],E47,FlatDataset[Date],"&gt;="&amp;C$3,FlatDataset[Date],"&lt;="&amp;C$4)</f>
        <v>5000</v>
      </c>
      <c r="G47" s="104">
        <f>'All Periods'!G48</f>
        <v>0</v>
      </c>
      <c r="H47" s="91"/>
    </row>
    <row r="48" spans="2:8">
      <c r="E48" s="82" t="str">
        <f>IF('All Periods'!E49="","",'All Periods'!E49)</f>
        <v>ספק ב</v>
      </c>
      <c r="F48" s="96">
        <f>SUMIFS(FlatDataset[Amount (ILS)],FlatDataset[Name],E48,FlatDataset[Date],"&gt;="&amp;C$3,FlatDataset[Date],"&lt;="&amp;C$4)</f>
        <v>0</v>
      </c>
      <c r="G48" s="104">
        <f>'All Periods'!G49</f>
        <v>0</v>
      </c>
      <c r="H48" s="91"/>
    </row>
    <row r="49" spans="2:8">
      <c r="B49" s="140"/>
      <c r="C49" s="141"/>
      <c r="E49" s="82" t="str">
        <f>IF('All Periods'!E50="","",'All Periods'!E50)</f>
        <v>ספק ג</v>
      </c>
      <c r="F49" s="96">
        <f>SUMIFS(FlatDataset[Amount (ILS)],FlatDataset[Name],E49,FlatDataset[Date],"&gt;="&amp;C$3,FlatDataset[Date],"&lt;="&amp;C$4)</f>
        <v>13110</v>
      </c>
      <c r="G49" s="104">
        <f>'All Periods'!G50</f>
        <v>0</v>
      </c>
      <c r="H49" s="91"/>
    </row>
    <row r="50" spans="2:8">
      <c r="B50" s="140"/>
      <c r="C50" s="142"/>
      <c r="E50" s="82" t="str">
        <f>IF('All Periods'!E51="","",'All Periods'!E51)</f>
        <v>ספק ד</v>
      </c>
      <c r="F50" s="96">
        <f>SUMIFS(FlatDataset[Amount (ILS)],FlatDataset[Name],E50,FlatDataset[Date],"&gt;="&amp;C$3,FlatDataset[Date],"&lt;="&amp;C$4)</f>
        <v>3465</v>
      </c>
      <c r="G50" s="104">
        <f>'All Periods'!G51</f>
        <v>0</v>
      </c>
      <c r="H50" s="91"/>
    </row>
    <row r="51" spans="2:8">
      <c r="B51" s="143"/>
      <c r="C51" s="141"/>
      <c r="E51" s="82" t="str">
        <f>IF('All Periods'!E52="","",'All Periods'!E52)</f>
        <v/>
      </c>
      <c r="F51" s="96">
        <f>SUMIFS(FlatDataset[Amount (ILS)],FlatDataset[Name],E51,FlatDataset[Date],"&gt;="&amp;C$3,FlatDataset[Date],"&lt;="&amp;C$4)</f>
        <v>0</v>
      </c>
      <c r="G51" s="104">
        <f>'All Periods'!G52</f>
        <v>0</v>
      </c>
      <c r="H51" s="91"/>
    </row>
    <row r="52" spans="2:8">
      <c r="E52" s="82" t="str">
        <f>IF('All Periods'!E53="","",'All Periods'!E53)</f>
        <v/>
      </c>
      <c r="F52" s="96">
        <f>SUMIFS(FlatDataset[Amount (ILS)],FlatDataset[Name],E52,FlatDataset[Date],"&gt;="&amp;C$3,FlatDataset[Date],"&lt;="&amp;C$4)</f>
        <v>0</v>
      </c>
      <c r="G52" s="104">
        <f>'All Periods'!G53</f>
        <v>0</v>
      </c>
      <c r="H52" s="91"/>
    </row>
    <row r="53" spans="2:8">
      <c r="C53" s="17"/>
      <c r="E53" s="82" t="str">
        <f>IF('All Periods'!E54="","",'All Periods'!E54)</f>
        <v/>
      </c>
      <c r="F53" s="96">
        <f>SUMIFS(FlatDataset[Amount (ILS)],FlatDataset[Name],E53,FlatDataset[Date],"&gt;="&amp;C$3,FlatDataset[Date],"&lt;="&amp;C$4)</f>
        <v>0</v>
      </c>
      <c r="G53" s="104">
        <f>'All Periods'!G54</f>
        <v>0</v>
      </c>
      <c r="H53" s="91"/>
    </row>
    <row r="54" spans="2:8">
      <c r="E54" s="82" t="str">
        <f>IF('All Periods'!E55="","",'All Periods'!E55)</f>
        <v/>
      </c>
      <c r="F54" s="96">
        <f>SUMIFS(FlatDataset[Amount (ILS)],FlatDataset[Name],E54,FlatDataset[Date],"&gt;="&amp;C$3,FlatDataset[Date],"&lt;="&amp;C$4)</f>
        <v>0</v>
      </c>
      <c r="G54" s="104">
        <f>'All Periods'!G55</f>
        <v>0</v>
      </c>
      <c r="H54" s="91"/>
    </row>
    <row r="55" spans="2:8">
      <c r="E55" s="82" t="str">
        <f>IF('All Periods'!E56="","",'All Periods'!E56)</f>
        <v/>
      </c>
      <c r="F55" s="96">
        <f>SUMIFS(FlatDataset[Amount (ILS)],FlatDataset[Name],E55,FlatDataset[Date],"&gt;="&amp;C$3,FlatDataset[Date],"&lt;="&amp;C$4)</f>
        <v>0</v>
      </c>
      <c r="G55" s="104">
        <f>'All Periods'!G56</f>
        <v>0</v>
      </c>
      <c r="H55" s="91"/>
    </row>
    <row r="56" spans="2:8">
      <c r="E56" s="82" t="str">
        <f>IF('All Periods'!E57="","",'All Periods'!E57)</f>
        <v/>
      </c>
      <c r="F56" s="96">
        <f>SUMIFS(FlatDataset[Amount (ILS)],FlatDataset[Name],E56,FlatDataset[Date],"&gt;="&amp;C$3,FlatDataset[Date],"&lt;="&amp;C$4)</f>
        <v>0</v>
      </c>
      <c r="G56" s="104">
        <f>'All Periods'!G57</f>
        <v>0</v>
      </c>
      <c r="H56" s="91"/>
    </row>
    <row r="57" spans="2:8">
      <c r="E57" s="82" t="str">
        <f>IF('All Periods'!E58="","",'All Periods'!E58)</f>
        <v/>
      </c>
      <c r="F57" s="96">
        <f>SUMIFS(FlatDataset[Amount (ILS)],FlatDataset[Name],E57,FlatDataset[Date],"&gt;="&amp;C$3,FlatDataset[Date],"&lt;="&amp;C$4)</f>
        <v>0</v>
      </c>
      <c r="G57" s="104">
        <f>'All Periods'!G58</f>
        <v>0</v>
      </c>
      <c r="H57" s="91"/>
    </row>
    <row r="58" spans="2:8">
      <c r="E58" s="82" t="str">
        <f>IF('All Periods'!E59="","",'All Periods'!E59)</f>
        <v/>
      </c>
      <c r="F58" s="96">
        <f>SUMIFS(FlatDataset[Amount (ILS)],FlatDataset[Name],E58,FlatDataset[Date],"&gt;="&amp;C$3,FlatDataset[Date],"&lt;="&amp;C$4)</f>
        <v>0</v>
      </c>
      <c r="G58" s="104">
        <f>'All Periods'!G59</f>
        <v>0</v>
      </c>
      <c r="H58" s="91"/>
    </row>
    <row r="59" spans="2:8">
      <c r="H59" s="91"/>
    </row>
    <row r="60" spans="2:8">
      <c r="E60" s="82"/>
      <c r="F60" s="96"/>
      <c r="H60" s="91"/>
    </row>
    <row r="61" spans="2:8">
      <c r="E61" s="124" t="s">
        <v>21</v>
      </c>
      <c r="F61" s="96"/>
      <c r="H61" s="91"/>
    </row>
    <row r="62" spans="2:8">
      <c r="E62" s="82" t="str">
        <f>IF('All Periods'!E62="","",'All Periods'!E62)</f>
        <v>חוב לספק א</v>
      </c>
      <c r="F62" s="96">
        <f>SUMIFS(FlatDataset[Amount (ILS)],FlatDataset[Name],E62,FlatDataset[Date],"&gt;="&amp;C$3,FlatDataset[Date],"&lt;="&amp;C$4)</f>
        <v>0</v>
      </c>
      <c r="G62" s="91">
        <f>'All Periods'!G62</f>
        <v>0</v>
      </c>
      <c r="H62" s="91"/>
    </row>
    <row r="63" spans="2:8">
      <c r="E63" s="82" t="str">
        <f>IF('All Periods'!E63="","",'All Periods'!E63)</f>
        <v>חוב לספק ב</v>
      </c>
      <c r="F63" s="96">
        <f>SUMIFS(FlatDataset[Amount (ILS)],FlatDataset[Name],E63,FlatDataset[Date],"&gt;="&amp;C$3,FlatDataset[Date],"&lt;="&amp;C$4)</f>
        <v>0</v>
      </c>
      <c r="G63" s="91">
        <f>'All Periods'!G63</f>
        <v>0</v>
      </c>
      <c r="H63" s="91"/>
    </row>
    <row r="64" spans="2:8">
      <c r="E64" s="82" t="str">
        <f>IF('All Periods'!E64="","",'All Periods'!E64)</f>
        <v>חוב לספק ג</v>
      </c>
      <c r="F64" s="96">
        <f>SUMIFS(FlatDataset[Amount (ILS)],FlatDataset[Name],E64,FlatDataset[Date],"&gt;="&amp;C$3,FlatDataset[Date],"&lt;="&amp;C$4)</f>
        <v>0</v>
      </c>
      <c r="G64" s="91">
        <f>'All Periods'!G64</f>
        <v>0</v>
      </c>
      <c r="H64" s="91"/>
    </row>
    <row r="65" spans="5:8">
      <c r="E65" s="82" t="str">
        <f>IF('All Periods'!E65="","",'All Periods'!E65)</f>
        <v>חוב לספק ד</v>
      </c>
      <c r="F65" s="96">
        <f>SUMIFS(FlatDataset[Amount (ILS)],FlatDataset[Name],E65,FlatDataset[Date],"&gt;="&amp;C$3,FlatDataset[Date],"&lt;="&amp;C$4)</f>
        <v>0</v>
      </c>
      <c r="G65" s="91">
        <f>'All Periods'!G65</f>
        <v>0</v>
      </c>
      <c r="H65" s="91"/>
    </row>
    <row r="66" spans="5:8">
      <c r="E66" s="82" t="str">
        <f>IF('All Periods'!E66="","",'All Periods'!E66)</f>
        <v/>
      </c>
      <c r="F66" s="96">
        <f>SUMIFS(FlatDataset[Amount (ILS)],FlatDataset[Name],E66,FlatDataset[Date],"&gt;="&amp;C$3,FlatDataset[Date],"&lt;="&amp;C$4)</f>
        <v>0</v>
      </c>
      <c r="G66" s="91">
        <f>'All Periods'!G66</f>
        <v>0</v>
      </c>
      <c r="H66" s="91"/>
    </row>
    <row r="67" spans="5:8">
      <c r="E67" s="82" t="str">
        <f>IF('All Periods'!E67="","",'All Periods'!E67)</f>
        <v/>
      </c>
      <c r="F67" s="96">
        <f>SUMIFS(FlatDataset[Amount (ILS)],FlatDataset[Name],E67,FlatDataset[Date],"&gt;="&amp;C$3,FlatDataset[Date],"&lt;="&amp;C$4)</f>
        <v>0</v>
      </c>
      <c r="G67" s="91">
        <f>'All Periods'!G67</f>
        <v>0</v>
      </c>
      <c r="H67" s="91"/>
    </row>
    <row r="68" spans="5:8">
      <c r="E68" s="82" t="str">
        <f>IF('All Periods'!E68="","",'All Periods'!E68)</f>
        <v/>
      </c>
      <c r="F68" s="96">
        <f>SUMIFS(FlatDataset[Amount (ILS)],FlatDataset[Name],E68,FlatDataset[Date],"&gt;="&amp;C$3,FlatDataset[Date],"&lt;="&amp;C$4)</f>
        <v>0</v>
      </c>
      <c r="G68" s="91">
        <f>'All Periods'!G68</f>
        <v>0</v>
      </c>
      <c r="H68" s="91"/>
    </row>
    <row r="69" spans="5:8">
      <c r="E69" s="82" t="str">
        <f>IF('All Periods'!E69="","",'All Periods'!E69)</f>
        <v/>
      </c>
      <c r="F69" s="96">
        <f>SUMIFS(FlatDataset[Amount (ILS)],FlatDataset[Name],E69,FlatDataset[Date],"&gt;="&amp;C$3,FlatDataset[Date],"&lt;="&amp;C$4)</f>
        <v>0</v>
      </c>
      <c r="G69" s="91">
        <f>'All Periods'!G69</f>
        <v>0</v>
      </c>
      <c r="H69" s="91"/>
    </row>
    <row r="70" spans="5:8">
      <c r="E70" s="82" t="str">
        <f>IF('All Periods'!E70="","",'All Periods'!E70)</f>
        <v/>
      </c>
      <c r="F70" s="96">
        <f>SUMIFS(FlatDataset[Amount (ILS)],FlatDataset[Name],E70,FlatDataset[Date],"&gt;="&amp;C$3,FlatDataset[Date],"&lt;="&amp;C$4)</f>
        <v>0</v>
      </c>
      <c r="G70" s="91">
        <f>'All Periods'!G70</f>
        <v>0</v>
      </c>
      <c r="H70" s="91"/>
    </row>
    <row r="71" spans="5:8">
      <c r="E71" s="82" t="str">
        <f>IF('All Periods'!E71="","",'All Periods'!E71)</f>
        <v/>
      </c>
      <c r="F71" s="96">
        <f>SUMIFS(FlatDataset[Amount (ILS)],FlatDataset[Name],E71,FlatDataset[Date],"&gt;="&amp;C$3,FlatDataset[Date],"&lt;="&amp;C$4)</f>
        <v>0</v>
      </c>
      <c r="G71" s="91">
        <f>'All Periods'!G71</f>
        <v>0</v>
      </c>
      <c r="H71" s="91"/>
    </row>
    <row r="72" spans="5:8">
      <c r="E72" s="82" t="str">
        <f>IF('All Periods'!E72="","",'All Periods'!E72)</f>
        <v/>
      </c>
      <c r="F72" s="96">
        <f>SUMIFS(FlatDataset[Amount (ILS)],FlatDataset[Name],E72,FlatDataset[Date],"&gt;="&amp;C$3,FlatDataset[Date],"&lt;="&amp;C$4)</f>
        <v>0</v>
      </c>
      <c r="G72" s="91">
        <f>'All Periods'!G72</f>
        <v>0</v>
      </c>
      <c r="H72" s="91"/>
    </row>
    <row r="73" spans="5:8">
      <c r="E73" s="82" t="str">
        <f>IF('All Periods'!E73="","",'All Periods'!E73)</f>
        <v/>
      </c>
      <c r="F73" s="96">
        <f>SUMIFS(FlatDataset[Amount (ILS)],FlatDataset[Name],E73,FlatDataset[Date],"&gt;="&amp;C$3,FlatDataset[Date],"&lt;="&amp;C$4)</f>
        <v>0</v>
      </c>
      <c r="G73" s="91">
        <f>'All Periods'!G73</f>
        <v>0</v>
      </c>
      <c r="H73" s="91"/>
    </row>
    <row r="74" spans="5:8">
      <c r="E74" s="82" t="str">
        <f>IF('All Periods'!E74="","",'All Periods'!E74)</f>
        <v/>
      </c>
      <c r="F74" s="96">
        <f>SUMIFS(FlatDataset[Amount (ILS)],FlatDataset[Name],E74,FlatDataset[Date],"&gt;="&amp;C$3,FlatDataset[Date],"&lt;="&amp;C$4)</f>
        <v>0</v>
      </c>
      <c r="G74" s="91">
        <f>'All Periods'!G74</f>
        <v>0</v>
      </c>
      <c r="H74" s="91"/>
    </row>
    <row r="75" spans="5:8">
      <c r="E75" s="82" t="str">
        <f>IF('All Periods'!E75="","",'All Periods'!E75)</f>
        <v/>
      </c>
      <c r="F75" s="96">
        <f>SUMIFS(FlatDataset[Amount (ILS)],FlatDataset[Name],E75,FlatDataset[Date],"&gt;="&amp;C$3,FlatDataset[Date],"&lt;="&amp;C$4)</f>
        <v>0</v>
      </c>
      <c r="G75" s="91">
        <f>'All Periods'!G75</f>
        <v>0</v>
      </c>
      <c r="H75" s="91"/>
    </row>
    <row r="76" spans="5:8">
      <c r="E76" s="82" t="str">
        <f>IF('All Periods'!E76="","",'All Periods'!E76)</f>
        <v/>
      </c>
      <c r="F76" s="96">
        <f>SUMIFS(FlatDataset[Amount (ILS)],FlatDataset[Name],E76,FlatDataset[Date],"&gt;="&amp;C$3,FlatDataset[Date],"&lt;="&amp;C$4)</f>
        <v>0</v>
      </c>
      <c r="G76" s="91">
        <f>'All Periods'!G76</f>
        <v>0</v>
      </c>
    </row>
    <row r="77" spans="5:8">
      <c r="E77" s="82" t="str">
        <f>IF('All Periods'!E77="","",'All Periods'!E77)</f>
        <v/>
      </c>
      <c r="F77" s="96">
        <f>SUMIFS(FlatDataset[Amount (ILS)],FlatDataset[Name],E77,FlatDataset[Date],"&gt;="&amp;C$3,FlatDataset[Date],"&lt;="&amp;C$4)</f>
        <v>0</v>
      </c>
      <c r="G77" s="91">
        <f>'All Periods'!G77</f>
        <v>0</v>
      </c>
    </row>
    <row r="78" spans="5:8">
      <c r="E78" s="82" t="str">
        <f>IF('All Periods'!E78="","",'All Periods'!E78)</f>
        <v/>
      </c>
      <c r="F78" s="96">
        <f>SUMIFS(FlatDataset[Amount (ILS)],FlatDataset[Name],E78,FlatDataset[Date],"&gt;="&amp;C$3,FlatDataset[Date],"&lt;="&amp;C$4)</f>
        <v>0</v>
      </c>
      <c r="G78" s="91">
        <f>'All Periods'!G78</f>
        <v>0</v>
      </c>
    </row>
    <row r="79" spans="5:8">
      <c r="E79" s="82" t="str">
        <f>IF('All Periods'!E79="","",'All Periods'!E79)</f>
        <v/>
      </c>
      <c r="F79" s="96">
        <f>SUMIFS(FlatDataset[Amount (ILS)],FlatDataset[Name],E79,FlatDataset[Date],"&gt;="&amp;C$3,FlatDataset[Date],"&lt;="&amp;C$4)</f>
        <v>0</v>
      </c>
      <c r="G79" s="91">
        <f>'All Periods'!G79</f>
        <v>0</v>
      </c>
      <c r="H79" s="91"/>
    </row>
    <row r="80" spans="5:8">
      <c r="E80" s="82" t="str">
        <f>IF('All Periods'!E80="","",'All Periods'!E80)</f>
        <v/>
      </c>
      <c r="F80" s="96">
        <f>SUMIFS(FlatDataset[Amount (ILS)],FlatDataset[Name],E80,FlatDataset[Date],"&gt;="&amp;C$3,FlatDataset[Date],"&lt;="&amp;C$4)</f>
        <v>0</v>
      </c>
      <c r="G80" s="91">
        <f>'All Periods'!G80</f>
        <v>0</v>
      </c>
      <c r="H80" s="91"/>
    </row>
    <row r="81" spans="2:8">
      <c r="E81" s="82" t="str">
        <f>IF('All Periods'!E81="","",'All Periods'!E81)</f>
        <v/>
      </c>
      <c r="F81" s="96">
        <f>SUMIFS(FlatDataset[Amount (ILS)],FlatDataset[Name],E81,FlatDataset[Date],"&gt;="&amp;C$3,FlatDataset[Date],"&lt;="&amp;C$4)</f>
        <v>0</v>
      </c>
      <c r="G81" s="91">
        <f>'All Periods'!G81</f>
        <v>0</v>
      </c>
      <c r="H81" s="91"/>
    </row>
    <row r="82" spans="2:8">
      <c r="E82" s="82" t="str">
        <f>IF('All Periods'!E82="","",'All Periods'!E82)</f>
        <v/>
      </c>
      <c r="F82" s="96">
        <f>SUMIFS(FlatDataset[Amount (ILS)],FlatDataset[Name],E82,FlatDataset[Date],"&gt;="&amp;C$3,FlatDataset[Date],"&lt;="&amp;C$4)</f>
        <v>0</v>
      </c>
      <c r="G82" s="91">
        <f>'All Periods'!G82</f>
        <v>0</v>
      </c>
      <c r="H82" s="91"/>
    </row>
    <row r="83" spans="2:8">
      <c r="E83" s="82" t="str">
        <f>IF('All Periods'!E83="","",'All Periods'!E83)</f>
        <v/>
      </c>
      <c r="F83" s="96">
        <f>SUMIFS(FlatDataset[Amount (ILS)],FlatDataset[Name],E83,FlatDataset[Date],"&gt;="&amp;C$3,FlatDataset[Date],"&lt;="&amp;C$4)</f>
        <v>0</v>
      </c>
      <c r="G83" s="91">
        <f>'All Periods'!G83</f>
        <v>0</v>
      </c>
      <c r="H83" s="91"/>
    </row>
    <row r="84" spans="2:8">
      <c r="B84" s="15"/>
      <c r="C84" s="108"/>
      <c r="E84" s="82" t="str">
        <f>IF('All Periods'!E84="","",'All Periods'!E84)</f>
        <v/>
      </c>
      <c r="F84" s="96">
        <f>SUMIFS(FlatDataset[Amount (ILS)],FlatDataset[Name],E84,FlatDataset[Date],"&gt;="&amp;C$3,FlatDataset[Date],"&lt;="&amp;C$4)</f>
        <v>0</v>
      </c>
      <c r="G84" s="91">
        <f>'All Periods'!G84</f>
        <v>0</v>
      </c>
      <c r="H84" s="91"/>
    </row>
    <row r="85" spans="2:8">
      <c r="B85" s="15"/>
      <c r="C85" s="108"/>
      <c r="E85" s="82" t="str">
        <f>IF('All Periods'!E85="","",'All Periods'!E85)</f>
        <v/>
      </c>
      <c r="F85" s="96">
        <f>SUMIFS(FlatDataset[Amount (ILS)],FlatDataset[Name],E85,FlatDataset[Date],"&gt;="&amp;C$3,FlatDataset[Date],"&lt;="&amp;C$4)</f>
        <v>0</v>
      </c>
      <c r="G85" s="91">
        <f>'All Periods'!G85</f>
        <v>0</v>
      </c>
      <c r="H85" s="91"/>
    </row>
    <row r="86" spans="2:8">
      <c r="B86" s="15"/>
      <c r="C86" s="15"/>
      <c r="E86" s="82" t="str">
        <f>IF('All Periods'!E86="","",'All Periods'!E86)</f>
        <v/>
      </c>
      <c r="F86" s="96">
        <f>SUMIFS(FlatDataset[Amount (ILS)],FlatDataset[Name],E86,FlatDataset[Date],"&gt;="&amp;C$3,FlatDataset[Date],"&lt;="&amp;C$4)</f>
        <v>0</v>
      </c>
      <c r="G86" s="91">
        <f>'All Periods'!G86</f>
        <v>0</v>
      </c>
      <c r="H86" s="91"/>
    </row>
    <row r="87" spans="2:8">
      <c r="B87" s="15"/>
      <c r="C87" s="62"/>
      <c r="E87" s="82" t="str">
        <f>IF('All Periods'!E87="","",'All Periods'!E87)</f>
        <v/>
      </c>
      <c r="F87" s="96">
        <f>SUMIFS(FlatDataset[Amount (ILS)],FlatDataset[Name],E87,FlatDataset[Date],"&gt;="&amp;C$3,FlatDataset[Date],"&lt;="&amp;C$4)</f>
        <v>0</v>
      </c>
      <c r="G87" s="91">
        <f>'All Periods'!G87</f>
        <v>0</v>
      </c>
      <c r="H87" s="91"/>
    </row>
    <row r="88" spans="2:8">
      <c r="B88" s="41"/>
      <c r="C88" s="125"/>
      <c r="E88" s="82" t="str">
        <f>IF('All Periods'!E88="","",'All Periods'!E88)</f>
        <v/>
      </c>
      <c r="F88" s="96">
        <f>SUMIFS(FlatDataset[Amount (ILS)],FlatDataset[Name],E88,FlatDataset[Date],"&gt;="&amp;C$3,FlatDataset[Date],"&lt;="&amp;C$4)</f>
        <v>0</v>
      </c>
      <c r="G88" s="91">
        <f>'All Periods'!G88</f>
        <v>0</v>
      </c>
      <c r="H88" s="91"/>
    </row>
    <row r="89" spans="2:8">
      <c r="C89" s="103"/>
      <c r="E89" s="82" t="str">
        <f>IF('All Periods'!E89="","",'All Periods'!E89)</f>
        <v/>
      </c>
      <c r="F89" s="96">
        <f>SUMIFS(FlatDataset[Amount (ILS)],FlatDataset[Name],E89,FlatDataset[Date],"&gt;="&amp;C$3,FlatDataset[Date],"&lt;="&amp;C$4)</f>
        <v>0</v>
      </c>
      <c r="G89" s="91">
        <f>'All Periods'!G89</f>
        <v>0</v>
      </c>
      <c r="H89" s="91"/>
    </row>
    <row r="90" spans="2:8">
      <c r="E90" s="82" t="str">
        <f>IF('All Periods'!E90="","",'All Periods'!E90)</f>
        <v/>
      </c>
      <c r="F90" s="96">
        <f>SUMIFS(FlatDataset[Amount (ILS)],FlatDataset[Name],E90,FlatDataset[Date],"&gt;="&amp;C$3,FlatDataset[Date],"&lt;="&amp;C$4)</f>
        <v>0</v>
      </c>
      <c r="G90" s="91">
        <f>'All Periods'!G90</f>
        <v>0</v>
      </c>
      <c r="H90" s="91"/>
    </row>
    <row r="91" spans="2:8">
      <c r="E91" s="82" t="str">
        <f>IF('All Periods'!E91="","",'All Periods'!E91)</f>
        <v/>
      </c>
      <c r="F91" s="96">
        <f>SUMIFS(FlatDataset[Amount (ILS)],FlatDataset[Name],E91,FlatDataset[Date],"&gt;="&amp;C$3,FlatDataset[Date],"&lt;="&amp;C$4)</f>
        <v>0</v>
      </c>
      <c r="G91" s="91">
        <f>'All Periods'!G91</f>
        <v>0</v>
      </c>
      <c r="H91" s="91"/>
    </row>
    <row r="92" spans="2:8">
      <c r="E92" s="82" t="str">
        <f>IF('All Periods'!E92="","",'All Periods'!E92)</f>
        <v/>
      </c>
      <c r="F92" s="96">
        <f>SUMIFS(FlatDataset[Amount (ILS)],FlatDataset[Name],E92,FlatDataset[Date],"&gt;="&amp;C$3,FlatDataset[Date],"&lt;="&amp;C$4)</f>
        <v>0</v>
      </c>
      <c r="G92" s="91">
        <f>'All Periods'!G92</f>
        <v>0</v>
      </c>
      <c r="H92" s="91"/>
    </row>
    <row r="93" spans="2:8">
      <c r="E93" s="82" t="str">
        <f>IF('All Periods'!E93="","",'All Periods'!E93)</f>
        <v/>
      </c>
      <c r="F93" s="96">
        <f>SUMIFS(FlatDataset[Amount (ILS)],FlatDataset[Name],E93,FlatDataset[Date],"&gt;="&amp;C$3,FlatDataset[Date],"&lt;="&amp;C$4)</f>
        <v>0</v>
      </c>
      <c r="G93" s="91">
        <f>'All Periods'!G93</f>
        <v>0</v>
      </c>
      <c r="H93" s="91"/>
    </row>
    <row r="94" spans="2:8">
      <c r="E94" s="82" t="str">
        <f>IF('All Periods'!E94="","",'All Periods'!E94)</f>
        <v/>
      </c>
      <c r="F94" s="96">
        <f>SUMIFS(FlatDataset[Amount (ILS)],FlatDataset[Name],E94,FlatDataset[Date],"&gt;="&amp;C$3,FlatDataset[Date],"&lt;="&amp;C$4)</f>
        <v>0</v>
      </c>
      <c r="G94" s="91">
        <f>'All Periods'!G94</f>
        <v>0</v>
      </c>
      <c r="H94" s="91"/>
    </row>
    <row r="95" spans="2:8">
      <c r="D95" s="81"/>
      <c r="E95" s="82" t="str">
        <f>IF('All Periods'!E95="","",'All Periods'!E95)</f>
        <v/>
      </c>
      <c r="F95" s="96">
        <f>SUMIFS(FlatDataset[Amount (ILS)],FlatDataset[Name],E95,FlatDataset[Date],"&gt;="&amp;C$3,FlatDataset[Date],"&lt;="&amp;C$4)</f>
        <v>0</v>
      </c>
      <c r="G95" s="91">
        <f>'All Periods'!G95</f>
        <v>0</v>
      </c>
      <c r="H95" s="91"/>
    </row>
    <row r="96" spans="2:8">
      <c r="C96" s="96"/>
      <c r="E96" s="82" t="str">
        <f>IF('All Periods'!E96="","",'All Periods'!E96)</f>
        <v/>
      </c>
      <c r="F96" s="96">
        <f>SUMIFS(FlatDataset[Amount (ILS)],FlatDataset[Name],E96,FlatDataset[Date],"&gt;="&amp;C$3,FlatDataset[Date],"&lt;="&amp;C$4)</f>
        <v>0</v>
      </c>
      <c r="G96" s="91">
        <f>'All Periods'!G96</f>
        <v>0</v>
      </c>
      <c r="H96" s="91"/>
    </row>
    <row r="97" spans="2:8">
      <c r="E97" s="82" t="str">
        <f>IF('All Periods'!E97="","",'All Periods'!E97)</f>
        <v/>
      </c>
      <c r="F97" s="96">
        <f>SUMIFS(FlatDataset[Amount (ILS)],FlatDataset[Name],E97,FlatDataset[Date],"&gt;="&amp;C$3,FlatDataset[Date],"&lt;="&amp;C$4)</f>
        <v>0</v>
      </c>
      <c r="G97" s="91">
        <f>'All Periods'!G97</f>
        <v>0</v>
      </c>
      <c r="H97" s="91"/>
    </row>
    <row r="98" spans="2:8">
      <c r="C98" s="96"/>
      <c r="E98" s="82" t="str">
        <f>IF('All Periods'!E98="","",'All Periods'!E98)</f>
        <v/>
      </c>
      <c r="F98" s="96">
        <f>SUMIFS(FlatDataset[Amount (ILS)],FlatDataset[Name],E98,FlatDataset[Date],"&gt;="&amp;C$3,FlatDataset[Date],"&lt;="&amp;C$4)</f>
        <v>0</v>
      </c>
      <c r="G98" s="91">
        <f>'All Periods'!G98</f>
        <v>0</v>
      </c>
      <c r="H98" s="91"/>
    </row>
    <row r="99" spans="2:8">
      <c r="C99" s="96"/>
      <c r="E99" s="82" t="str">
        <f>IF('All Periods'!E99="","",'All Periods'!E99)</f>
        <v/>
      </c>
      <c r="F99" s="96">
        <f>SUMIFS(FlatDataset[Amount (ILS)],FlatDataset[Name],E99,FlatDataset[Date],"&gt;="&amp;C$3,FlatDataset[Date],"&lt;="&amp;C$4)</f>
        <v>0</v>
      </c>
      <c r="G99" s="91">
        <f>'All Periods'!G99</f>
        <v>0</v>
      </c>
      <c r="H99" s="91"/>
    </row>
    <row r="100" spans="2:8">
      <c r="B100" s="26"/>
      <c r="C100" s="126"/>
      <c r="E100" s="82" t="str">
        <f>IF('All Periods'!E100="","",'All Periods'!E100)</f>
        <v/>
      </c>
      <c r="F100" s="96">
        <f>SUMIFS(FlatDataset[Amount (ILS)],FlatDataset[Name],E100,FlatDataset[Date],"&gt;="&amp;C$3,FlatDataset[Date],"&lt;="&amp;C$4)</f>
        <v>0</v>
      </c>
      <c r="G100" s="91">
        <f>'All Periods'!G100</f>
        <v>0</v>
      </c>
      <c r="H100" s="91"/>
    </row>
    <row r="101" spans="2:8">
      <c r="C101" s="96"/>
      <c r="E101" s="82" t="str">
        <f>IF('All Periods'!E101="","",'All Periods'!E101)</f>
        <v/>
      </c>
      <c r="F101" s="96">
        <f>SUMIFS(FlatDataset[Amount (ILS)],FlatDataset[Name],E101,FlatDataset[Date],"&gt;="&amp;C$3,FlatDataset[Date],"&lt;="&amp;C$4)</f>
        <v>0</v>
      </c>
      <c r="G101" s="91">
        <f>'All Periods'!G101</f>
        <v>0</v>
      </c>
      <c r="H101" s="91"/>
    </row>
    <row r="102" spans="2:8">
      <c r="B102" s="26"/>
      <c r="C102" s="126"/>
      <c r="E102" s="82" t="str">
        <f>IF('All Periods'!E102="","",'All Periods'!E102)</f>
        <v/>
      </c>
      <c r="F102" s="96">
        <f>SUMIFS(FlatDataset[Amount (ILS)],FlatDataset[Name],E102,FlatDataset[Date],"&gt;="&amp;C$3,FlatDataset[Date],"&lt;="&amp;C$4)</f>
        <v>0</v>
      </c>
      <c r="G102" s="91">
        <f>'All Periods'!G102</f>
        <v>0</v>
      </c>
      <c r="H102" s="91"/>
    </row>
    <row r="103" spans="2:8">
      <c r="C103" s="96"/>
      <c r="E103" s="82" t="str">
        <f>IF('All Periods'!E103="","",'All Periods'!E103)</f>
        <v/>
      </c>
      <c r="F103" s="96">
        <f>SUMIFS(FlatDataset[Amount (ILS)],FlatDataset[Name],E103,FlatDataset[Date],"&gt;="&amp;C$3,FlatDataset[Date],"&lt;="&amp;C$4)</f>
        <v>0</v>
      </c>
      <c r="G103" s="91">
        <f>'All Periods'!G103</f>
        <v>0</v>
      </c>
      <c r="H103" s="91"/>
    </row>
    <row r="104" spans="2:8">
      <c r="C104" s="96"/>
      <c r="E104" s="82" t="str">
        <f>IF('All Periods'!E104="","",'All Periods'!E104)</f>
        <v/>
      </c>
      <c r="F104" s="96">
        <f>SUMIFS(FlatDataset[Amount (ILS)],FlatDataset[Name],E104,FlatDataset[Date],"&gt;="&amp;C$3,FlatDataset[Date],"&lt;="&amp;C$4)</f>
        <v>0</v>
      </c>
      <c r="G104" s="91">
        <f>'All Periods'!G104</f>
        <v>0</v>
      </c>
    </row>
    <row r="105" spans="2:8">
      <c r="E105" s="82" t="str">
        <f>IF('All Periods'!E105="","",'All Periods'!E105)</f>
        <v/>
      </c>
      <c r="F105" s="96">
        <f>SUMIFS(FlatDataset[Amount (ILS)],FlatDataset[Name],E105,FlatDataset[Date],"&gt;="&amp;C$3,FlatDataset[Date],"&lt;="&amp;C$4)</f>
        <v>0</v>
      </c>
      <c r="G105" s="91">
        <f>'All Periods'!G105</f>
        <v>0</v>
      </c>
    </row>
    <row r="106" spans="2:8">
      <c r="E106" s="82" t="str">
        <f>IF('All Periods'!E106="","",'All Periods'!E106)</f>
        <v/>
      </c>
      <c r="F106" s="96">
        <f>SUMIFS(FlatDataset[Amount (ILS)],FlatDataset[Name],E106,FlatDataset[Date],"&gt;="&amp;C$3,FlatDataset[Date],"&lt;="&amp;C$4)</f>
        <v>0</v>
      </c>
      <c r="G106" s="91">
        <f>'All Periods'!G106</f>
        <v>0</v>
      </c>
    </row>
    <row r="107" spans="2:8">
      <c r="E107" s="82" t="str">
        <f>IF('All Periods'!E107="","",'All Periods'!E107)</f>
        <v/>
      </c>
      <c r="F107" s="96">
        <f>SUMIFS(FlatDataset[Amount (ILS)],FlatDataset[Name],E107,FlatDataset[Date],"&gt;="&amp;C$3,FlatDataset[Date],"&lt;="&amp;C$4)</f>
        <v>0</v>
      </c>
      <c r="G107" s="91">
        <f>'All Periods'!G107</f>
        <v>0</v>
      </c>
    </row>
    <row r="108" spans="2:8">
      <c r="E108" s="82" t="str">
        <f>IF('All Periods'!E108="","",'All Periods'!E108)</f>
        <v/>
      </c>
      <c r="F108" s="96">
        <f>SUMIFS(FlatDataset[Amount (ILS)],FlatDataset[Name],E108,FlatDataset[Date],"&gt;="&amp;C$3,FlatDataset[Date],"&lt;="&amp;C$4)</f>
        <v>0</v>
      </c>
      <c r="G108" s="91">
        <f>'All Periods'!G108</f>
        <v>0</v>
      </c>
    </row>
    <row r="109" spans="2:8">
      <c r="E109" s="82" t="str">
        <f>IF('All Periods'!E109="","",'All Periods'!E109)</f>
        <v/>
      </c>
      <c r="F109" s="96">
        <f>SUMIFS(FlatDataset[Amount (ILS)],FlatDataset[Name],E109,FlatDataset[Date],"&gt;="&amp;C$3,FlatDataset[Date],"&lt;="&amp;C$4)</f>
        <v>0</v>
      </c>
      <c r="G109" s="91">
        <f>'All Periods'!G109</f>
        <v>0</v>
      </c>
    </row>
    <row r="110" spans="2:8">
      <c r="E110" s="82" t="str">
        <f>IF('All Periods'!E110="","",'All Periods'!E110)</f>
        <v/>
      </c>
      <c r="F110" s="96">
        <f>SUMIFS(FlatDataset[Amount (ILS)],FlatDataset[Name],E110,FlatDataset[Date],"&gt;="&amp;C$3,FlatDataset[Date],"&lt;="&amp;C$4)</f>
        <v>0</v>
      </c>
      <c r="G110" s="91">
        <f>'All Periods'!G110</f>
        <v>0</v>
      </c>
    </row>
    <row r="111" spans="2:8">
      <c r="E111" s="82" t="str">
        <f>IF('All Periods'!E111="","",'All Periods'!E111)</f>
        <v/>
      </c>
      <c r="F111" s="96">
        <f>SUMIFS(FlatDataset[Amount (ILS)],FlatDataset[Name],E111,FlatDataset[Date],"&gt;="&amp;C$3,FlatDataset[Date],"&lt;="&amp;C$4)</f>
        <v>0</v>
      </c>
      <c r="G111" s="91">
        <f>'All Periods'!G111</f>
        <v>0</v>
      </c>
    </row>
    <row r="112" spans="2:8">
      <c r="E112" s="82" t="str">
        <f>IF('All Periods'!E112="","",'All Periods'!E112)</f>
        <v/>
      </c>
      <c r="F112" s="96">
        <f>SUMIFS(FlatDataset[Amount (ILS)],FlatDataset[Name],E112,FlatDataset[Date],"&gt;="&amp;C$3,FlatDataset[Date],"&lt;="&amp;C$4)</f>
        <v>0</v>
      </c>
      <c r="G112" s="91">
        <f>'All Periods'!G112</f>
        <v>0</v>
      </c>
    </row>
    <row r="113" spans="5:6">
      <c r="F113" s="96"/>
    </row>
    <row r="115" spans="5:6">
      <c r="E115" s="117" t="s">
        <v>40</v>
      </c>
      <c r="F115" s="96"/>
    </row>
    <row r="116" spans="5:6">
      <c r="F116" s="96"/>
    </row>
    <row r="117" spans="5:6">
      <c r="E117" s="82" t="s">
        <v>55</v>
      </c>
      <c r="F117" s="96">
        <f>SUMIFS(FlatDataset[Amount (ILS)],FlatDataset[Payment method],E117,FlatDataset[Date],"&gt;="&amp;C$3,FlatDataset[Date],"&lt;="&amp;$C$4)</f>
        <v>0</v>
      </c>
    </row>
    <row r="118" spans="5:6">
      <c r="E118" s="82" t="s">
        <v>58</v>
      </c>
      <c r="F118" s="96">
        <f>SUMIFS(FlatDataset[Amount (ILS)],FlatDataset[Payment method],E118,FlatDataset[Date],"&gt;="&amp;C$3,FlatDataset[Date],"&lt;="&amp;$C$4)</f>
        <v>7850</v>
      </c>
    </row>
    <row r="119" spans="5:6">
      <c r="E119" s="82"/>
    </row>
    <row r="121" spans="5:6">
      <c r="E121" s="77" t="s">
        <v>59</v>
      </c>
    </row>
    <row r="122" spans="5:6">
      <c r="E122" s="82" t="str">
        <f>'All Periods'!E126</f>
        <v>מעמ אירופה</v>
      </c>
      <c r="F122" s="96">
        <f>SUMIFS(FlatDataset[Amount (ILS)],FlatDataset[Name],E122,FlatDataset[Date],"&gt;="&amp;C$3,FlatDataset[Date],"&lt;="&amp;C$4)</f>
        <v>4370</v>
      </c>
    </row>
    <row r="123" spans="5:6">
      <c r="E123" s="82">
        <f>'All Periods'!E127</f>
        <v>0</v>
      </c>
      <c r="F123" s="96">
        <f>SUMIFS(FlatDataset[Amount (ILS)],FlatDataset[Name],E123,FlatDataset[Date],"&gt;="&amp;C$3,FlatDataset[Date],"&lt;="&amp;C$4)</f>
        <v>0</v>
      </c>
    </row>
    <row r="124" spans="5:6">
      <c r="E124" s="14">
        <f>'All Periods'!E128</f>
        <v>0</v>
      </c>
      <c r="F124" s="96">
        <f>SUMIFS(FlatDataset[Amount (ILS)],FlatDataset[Name],E124,FlatDataset[Date],"&gt;="&amp;C$3,FlatDataset[Date],"&lt;="&amp;C$4)</f>
        <v>0</v>
      </c>
    </row>
    <row r="125" spans="5:6">
      <c r="E125" s="79">
        <f>'All Periods'!E129</f>
        <v>0</v>
      </c>
      <c r="F125" s="96">
        <f>SUMIFS(FlatDataset[Amount (ILS)],FlatDataset[Name],E125,FlatDataset[Date],"&gt;="&amp;C$3,FlatDataset[Date],"&lt;="&amp;C$4)</f>
        <v>0</v>
      </c>
    </row>
    <row r="126" spans="5:6">
      <c r="E126" s="82">
        <f>'All Periods'!E130</f>
        <v>0</v>
      </c>
      <c r="F126" s="96">
        <f>SUMIFS(FlatDataset[Amount (ILS)],FlatDataset[Name],E126,FlatDataset[Date],"&gt;="&amp;C$3,FlatDataset[Date],"&lt;="&amp;C$4)</f>
        <v>0</v>
      </c>
    </row>
    <row r="127" spans="5:6">
      <c r="E127" s="82">
        <f>'All Periods'!E131</f>
        <v>0</v>
      </c>
      <c r="F127" s="96">
        <f>SUMIFS(FlatDataset[Amount (ILS)],FlatDataset[Name],E127,FlatDataset[Date],"&gt;="&amp;C$3,FlatDataset[Date],"&lt;="&amp;C$4)</f>
        <v>0</v>
      </c>
    </row>
    <row r="128" spans="5:6">
      <c r="E128" s="82">
        <f>'All Periods'!E132</f>
        <v>0</v>
      </c>
      <c r="F128" s="96">
        <f>SUMIFS(FlatDataset[Amount (ILS)],FlatDataset[Name],E128,FlatDataset[Date],"&gt;="&amp;C$3,FlatDataset[Date],"&lt;="&amp;C$4)</f>
        <v>0</v>
      </c>
    </row>
    <row r="129" spans="2:6">
      <c r="E129" s="82">
        <f>'All Periods'!E133</f>
        <v>0</v>
      </c>
      <c r="F129" s="96">
        <f>SUMIFS(FlatDataset[Amount (ILS)],FlatDataset[Name],E129,FlatDataset[Date],"&gt;="&amp;C$3,FlatDataset[Date],"&lt;="&amp;C$4)</f>
        <v>0</v>
      </c>
    </row>
    <row r="130" spans="2:6">
      <c r="E130" s="82">
        <f>'All Periods'!E134</f>
        <v>0</v>
      </c>
      <c r="F130" s="96">
        <f>SUMIFS(FlatDataset[Amount (ILS)],FlatDataset[Name],E130,FlatDataset[Date],"&gt;="&amp;C$3,FlatDataset[Date],"&lt;="&amp;C$4)</f>
        <v>0</v>
      </c>
    </row>
    <row r="133" spans="2:6">
      <c r="F133" s="96"/>
    </row>
    <row r="134" spans="2:6">
      <c r="F134" s="96"/>
    </row>
    <row r="135" spans="2:6" ht="15.75" thickBot="1">
      <c r="B135" s="127" t="s">
        <v>42</v>
      </c>
      <c r="C135" s="121">
        <f>SUM(C42,C45,C46,C51,C53)</f>
        <v>-734565</v>
      </c>
      <c r="E135" s="127" t="s">
        <v>30</v>
      </c>
      <c r="F135" s="121">
        <f>SUM(F37:F134)-SUMIF(G37:G134,"x",F37:F134)+F31+F23</f>
        <v>254145</v>
      </c>
    </row>
    <row r="139" spans="2:6" ht="15.75" thickBot="1">
      <c r="B139" s="115" t="s">
        <v>43</v>
      </c>
      <c r="C139" s="116">
        <f>SUM(C135,-F135)</f>
        <v>-988710</v>
      </c>
    </row>
    <row r="140" spans="2:6" ht="15.75" thickTop="1"/>
  </sheetData>
  <conditionalFormatting sqref="C84">
    <cfRule type="cellIs" dxfId="10" priority="25" operator="lessThan">
      <formula>0</formula>
    </cfRule>
    <cfRule type="cellIs" dxfId="9" priority="26" operator="greaterThan">
      <formula>0</formula>
    </cfRule>
  </conditionalFormatting>
  <conditionalFormatting sqref="C139">
    <cfRule type="cellIs" dxfId="8" priority="22" operator="lessThan">
      <formula>0</formula>
    </cfRule>
    <cfRule type="cellIs" dxfId="7" priority="23" operator="greaterThan">
      <formula>0</formula>
    </cfRule>
  </conditionalFormatting>
  <conditionalFormatting sqref="C88">
    <cfRule type="cellIs" dxfId="6" priority="20" operator="lessThan">
      <formula>0</formula>
    </cfRule>
    <cfRule type="cellIs" dxfId="5" priority="21" operator="greaterThan">
      <formula>0</formula>
    </cfRule>
  </conditionalFormatting>
  <conditionalFormatting sqref="C33">
    <cfRule type="cellIs" dxfId="4" priority="8" operator="lessThan">
      <formula>0</formula>
    </cfRule>
    <cfRule type="cellIs" dxfId="3" priority="9" operator="greaterThan">
      <formula>0</formula>
    </cfRule>
  </conditionalFormatting>
  <conditionalFormatting sqref="E125">
    <cfRule type="duplicateValues" dxfId="2" priority="1"/>
  </conditionalFormatting>
  <conditionalFormatting sqref="E46">
    <cfRule type="duplicateValues" dxfId="1" priority="3"/>
  </conditionalFormatting>
  <conditionalFormatting sqref="E6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20"/>
  <sheetViews>
    <sheetView rightToLeft="1" workbookViewId="0">
      <selection activeCell="C10" sqref="C10"/>
    </sheetView>
  </sheetViews>
  <sheetFormatPr defaultColWidth="9.140625" defaultRowHeight="15"/>
  <cols>
    <col min="1" max="1" width="18.28515625" style="78" bestFit="1" customWidth="1"/>
    <col min="2" max="2" width="12.140625" style="78" bestFit="1" customWidth="1"/>
    <col min="3" max="3" width="19.85546875" style="29" customWidth="1"/>
    <col min="4" max="4" width="5.85546875" style="78" bestFit="1" customWidth="1"/>
    <col min="5" max="5" width="9.42578125" style="78" bestFit="1" customWidth="1"/>
    <col min="6" max="16384" width="9.140625" style="78"/>
  </cols>
  <sheetData>
    <row r="1" spans="1:5">
      <c r="A1" s="14" t="str">
        <f>"מס. צ'ק/שובר אשראי"</f>
        <v>מס. צ'ק/שובר אשראי</v>
      </c>
      <c r="B1" s="14" t="str">
        <f>"אמצעי תשלום"</f>
        <v>אמצעי תשלום</v>
      </c>
      <c r="C1" s="14" t="s">
        <v>103</v>
      </c>
      <c r="D1" s="14" t="str">
        <f>"מטבע"</f>
        <v>מטבע</v>
      </c>
      <c r="E1" s="14" t="s">
        <v>102</v>
      </c>
    </row>
    <row r="2" spans="1:5">
      <c r="A2" s="14"/>
      <c r="B2" s="14" t="str">
        <f>"מזומן"</f>
        <v>מזומן</v>
      </c>
      <c r="C2" s="14">
        <v>0</v>
      </c>
      <c r="D2" s="14" t="str">
        <f t="shared" ref="D2:D33" si="0">"ש'ח"</f>
        <v>ש'ח</v>
      </c>
      <c r="E2" s="14"/>
    </row>
    <row r="3" spans="1:5">
      <c r="A3" s="14"/>
      <c r="B3" s="14"/>
      <c r="C3" s="14"/>
      <c r="D3" s="14"/>
      <c r="E3" s="24"/>
    </row>
    <row r="4" spans="1:5">
      <c r="A4" s="14" t="str">
        <f>"1348"</f>
        <v>1348</v>
      </c>
      <c r="B4" s="14" t="str">
        <f t="shared" ref="B4:B34" si="1">"המחאה"</f>
        <v>המחאה</v>
      </c>
      <c r="C4" s="14">
        <v>100</v>
      </c>
      <c r="D4" s="14" t="str">
        <f t="shared" si="0"/>
        <v>ש'ח</v>
      </c>
      <c r="E4" s="24">
        <v>42071</v>
      </c>
    </row>
    <row r="5" spans="1:5">
      <c r="A5" s="14" t="str">
        <f>"1722"</f>
        <v>1722</v>
      </c>
      <c r="B5" s="14" t="str">
        <f t="shared" si="1"/>
        <v>המחאה</v>
      </c>
      <c r="C5" s="14">
        <v>100</v>
      </c>
      <c r="D5" s="14" t="str">
        <f t="shared" si="0"/>
        <v>ש'ח</v>
      </c>
      <c r="E5" s="24">
        <v>42111</v>
      </c>
    </row>
    <row r="6" spans="1:5">
      <c r="A6" s="14" t="str">
        <f>"1028"</f>
        <v>1028</v>
      </c>
      <c r="B6" s="14" t="str">
        <f t="shared" si="1"/>
        <v>המחאה</v>
      </c>
      <c r="C6" s="14">
        <v>100</v>
      </c>
      <c r="D6" s="14" t="str">
        <f t="shared" si="0"/>
        <v>ש'ח</v>
      </c>
      <c r="E6" s="24">
        <v>42124</v>
      </c>
    </row>
    <row r="7" spans="1:5">
      <c r="A7" s="14" t="str">
        <f>"1112"</f>
        <v>1112</v>
      </c>
      <c r="B7" s="14" t="str">
        <f t="shared" si="1"/>
        <v>המחאה</v>
      </c>
      <c r="C7" s="14">
        <v>100</v>
      </c>
      <c r="D7" s="14" t="str">
        <f t="shared" si="0"/>
        <v>ש'ח</v>
      </c>
      <c r="E7" s="24">
        <v>42124</v>
      </c>
    </row>
    <row r="8" spans="1:5">
      <c r="A8" s="14" t="str">
        <f>"1149"</f>
        <v>1149</v>
      </c>
      <c r="B8" s="14" t="str">
        <f t="shared" si="1"/>
        <v>המחאה</v>
      </c>
      <c r="C8" s="14">
        <v>100</v>
      </c>
      <c r="D8" s="14" t="str">
        <f t="shared" si="0"/>
        <v>ש'ח</v>
      </c>
      <c r="E8" s="24">
        <v>42124</v>
      </c>
    </row>
    <row r="9" spans="1:5">
      <c r="A9" s="14" t="str">
        <f>"1349"</f>
        <v>1349</v>
      </c>
      <c r="B9" s="14" t="str">
        <f t="shared" si="1"/>
        <v>המחאה</v>
      </c>
      <c r="C9" s="14">
        <v>100</v>
      </c>
      <c r="D9" s="14" t="str">
        <f t="shared" si="0"/>
        <v>ש'ח</v>
      </c>
      <c r="E9" s="24">
        <v>42132</v>
      </c>
    </row>
    <row r="10" spans="1:5">
      <c r="A10" s="14" t="str">
        <f>"11268"</f>
        <v>11268</v>
      </c>
      <c r="B10" s="14" t="str">
        <f t="shared" si="1"/>
        <v>המחאה</v>
      </c>
      <c r="C10" s="14">
        <v>100</v>
      </c>
      <c r="D10" s="14" t="str">
        <f t="shared" si="0"/>
        <v>ש'ח</v>
      </c>
      <c r="E10" s="24">
        <v>42219</v>
      </c>
    </row>
    <row r="11" spans="1:5">
      <c r="A11" s="14" t="str">
        <f>"5019"</f>
        <v>5019</v>
      </c>
      <c r="B11" s="14" t="str">
        <f t="shared" si="1"/>
        <v>המחאה</v>
      </c>
      <c r="C11" s="14">
        <v>100</v>
      </c>
      <c r="D11" s="14" t="str">
        <f t="shared" si="0"/>
        <v>ש'ח</v>
      </c>
      <c r="E11" s="24">
        <v>42241</v>
      </c>
    </row>
    <row r="12" spans="1:5">
      <c r="A12" s="14" t="str">
        <f>"336"</f>
        <v>336</v>
      </c>
      <c r="B12" s="14" t="str">
        <f t="shared" si="1"/>
        <v>המחאה</v>
      </c>
      <c r="C12" s="14">
        <v>100</v>
      </c>
      <c r="D12" s="14" t="str">
        <f t="shared" si="0"/>
        <v>ש'ח</v>
      </c>
      <c r="E12" s="24">
        <v>42242</v>
      </c>
    </row>
    <row r="13" spans="1:5">
      <c r="A13" s="14" t="str">
        <f>"235"</f>
        <v>235</v>
      </c>
      <c r="B13" s="14" t="str">
        <f t="shared" si="1"/>
        <v>המחאה</v>
      </c>
      <c r="C13" s="14">
        <v>100</v>
      </c>
      <c r="D13" s="14" t="str">
        <f t="shared" si="0"/>
        <v>ש'ח</v>
      </c>
      <c r="E13" s="24">
        <v>42246</v>
      </c>
    </row>
    <row r="14" spans="1:5">
      <c r="A14" s="14" t="str">
        <f>"12184"</f>
        <v>12184</v>
      </c>
      <c r="B14" s="14" t="str">
        <f t="shared" si="1"/>
        <v>המחאה</v>
      </c>
      <c r="C14" s="14">
        <v>100</v>
      </c>
      <c r="D14" s="14" t="str">
        <f t="shared" si="0"/>
        <v>ש'ח</v>
      </c>
      <c r="E14" s="24">
        <v>42246</v>
      </c>
    </row>
    <row r="15" spans="1:5">
      <c r="A15" s="14" t="str">
        <f>"402"</f>
        <v>402</v>
      </c>
      <c r="B15" s="14" t="str">
        <f t="shared" si="1"/>
        <v>המחאה</v>
      </c>
      <c r="C15" s="14">
        <v>100</v>
      </c>
      <c r="D15" s="14" t="str">
        <f t="shared" si="0"/>
        <v>ש'ח</v>
      </c>
      <c r="E15" s="24">
        <v>42246</v>
      </c>
    </row>
    <row r="16" spans="1:5">
      <c r="A16" s="14" t="str">
        <f>"1836"</f>
        <v>1836</v>
      </c>
      <c r="B16" s="14" t="str">
        <f t="shared" si="1"/>
        <v>המחאה</v>
      </c>
      <c r="C16" s="14">
        <v>100</v>
      </c>
      <c r="D16" s="14" t="str">
        <f t="shared" si="0"/>
        <v>ש'ח</v>
      </c>
      <c r="E16" s="24">
        <v>42247</v>
      </c>
    </row>
    <row r="17" spans="1:5">
      <c r="A17" s="14" t="str">
        <f>"193"</f>
        <v>193</v>
      </c>
      <c r="B17" s="14" t="str">
        <f t="shared" si="1"/>
        <v>המחאה</v>
      </c>
      <c r="C17" s="14">
        <v>100</v>
      </c>
      <c r="D17" s="14" t="str">
        <f t="shared" si="0"/>
        <v>ש'ח</v>
      </c>
      <c r="E17" s="24">
        <v>42247</v>
      </c>
    </row>
    <row r="18" spans="1:5">
      <c r="A18" s="14" t="str">
        <f>"10461"</f>
        <v>10461</v>
      </c>
      <c r="B18" s="14" t="str">
        <f t="shared" si="1"/>
        <v>המחאה</v>
      </c>
      <c r="C18" s="14">
        <v>100</v>
      </c>
      <c r="D18" s="14" t="str">
        <f t="shared" si="0"/>
        <v>ש'ח</v>
      </c>
      <c r="E18" s="24">
        <v>42247</v>
      </c>
    </row>
    <row r="19" spans="1:5">
      <c r="A19" s="14" t="str">
        <f>"937"</f>
        <v>937</v>
      </c>
      <c r="B19" s="14" t="str">
        <f t="shared" si="1"/>
        <v>המחאה</v>
      </c>
      <c r="C19" s="14">
        <v>100</v>
      </c>
      <c r="D19" s="14" t="str">
        <f t="shared" si="0"/>
        <v>ש'ח</v>
      </c>
      <c r="E19" s="24">
        <v>42247</v>
      </c>
    </row>
    <row r="20" spans="1:5">
      <c r="A20" s="14" t="str">
        <f>"695"</f>
        <v>695</v>
      </c>
      <c r="B20" s="14" t="str">
        <f t="shared" si="1"/>
        <v>המחאה</v>
      </c>
      <c r="C20" s="14">
        <v>100</v>
      </c>
      <c r="D20" s="14" t="str">
        <f t="shared" si="0"/>
        <v>ש'ח</v>
      </c>
      <c r="E20" s="24">
        <v>42248</v>
      </c>
    </row>
    <row r="21" spans="1:5">
      <c r="A21" s="14" t="str">
        <f>"087"</f>
        <v>087</v>
      </c>
      <c r="B21" s="14" t="str">
        <f t="shared" si="1"/>
        <v>המחאה</v>
      </c>
      <c r="C21" s="14">
        <v>100</v>
      </c>
      <c r="D21" s="14" t="str">
        <f t="shared" si="0"/>
        <v>ש'ח</v>
      </c>
      <c r="E21" s="24">
        <v>42248</v>
      </c>
    </row>
    <row r="22" spans="1:5">
      <c r="A22" s="14" t="str">
        <f>"1961"</f>
        <v>1961</v>
      </c>
      <c r="B22" s="14" t="str">
        <f t="shared" si="1"/>
        <v>המחאה</v>
      </c>
      <c r="C22" s="14">
        <v>100</v>
      </c>
      <c r="D22" s="14" t="str">
        <f t="shared" si="0"/>
        <v>ש'ח</v>
      </c>
      <c r="E22" s="24">
        <v>42249</v>
      </c>
    </row>
    <row r="23" spans="1:5">
      <c r="A23" s="14" t="str">
        <f>"11269"</f>
        <v>11269</v>
      </c>
      <c r="B23" s="14" t="str">
        <f t="shared" si="1"/>
        <v>המחאה</v>
      </c>
      <c r="C23" s="14">
        <v>100</v>
      </c>
      <c r="D23" s="14" t="str">
        <f t="shared" si="0"/>
        <v>ש'ח</v>
      </c>
      <c r="E23" s="24">
        <v>42250</v>
      </c>
    </row>
    <row r="24" spans="1:5">
      <c r="A24" s="14" t="str">
        <f>"2819"</f>
        <v>2819</v>
      </c>
      <c r="B24" s="14" t="str">
        <f t="shared" si="1"/>
        <v>המחאה</v>
      </c>
      <c r="C24" s="14">
        <v>100</v>
      </c>
      <c r="D24" s="14" t="str">
        <f t="shared" si="0"/>
        <v>ש'ח</v>
      </c>
      <c r="E24" s="24">
        <v>42252</v>
      </c>
    </row>
    <row r="25" spans="1:5">
      <c r="A25" s="14" t="str">
        <f>"2555"</f>
        <v>2555</v>
      </c>
      <c r="B25" s="14" t="str">
        <f t="shared" si="1"/>
        <v>המחאה</v>
      </c>
      <c r="C25" s="14">
        <v>100</v>
      </c>
      <c r="D25" s="14" t="str">
        <f t="shared" si="0"/>
        <v>ש'ח</v>
      </c>
      <c r="E25" s="24">
        <v>42252</v>
      </c>
    </row>
    <row r="26" spans="1:5">
      <c r="A26" s="14" t="str">
        <f>"598"</f>
        <v>598</v>
      </c>
      <c r="B26" s="14" t="str">
        <f t="shared" si="1"/>
        <v>המחאה</v>
      </c>
      <c r="C26" s="14">
        <v>100</v>
      </c>
      <c r="D26" s="14" t="str">
        <f t="shared" si="0"/>
        <v>ש'ח</v>
      </c>
      <c r="E26" s="24">
        <v>42252</v>
      </c>
    </row>
    <row r="27" spans="1:5">
      <c r="A27" s="14" t="str">
        <f>"10561"</f>
        <v>10561</v>
      </c>
      <c r="B27" s="14" t="str">
        <f t="shared" si="1"/>
        <v>המחאה</v>
      </c>
      <c r="C27" s="14">
        <v>100</v>
      </c>
      <c r="D27" s="14" t="str">
        <f t="shared" si="0"/>
        <v>ש'ח</v>
      </c>
      <c r="E27" s="24">
        <v>42252</v>
      </c>
    </row>
    <row r="28" spans="1:5">
      <c r="A28" s="14" t="str">
        <f>"10657"</f>
        <v>10657</v>
      </c>
      <c r="B28" s="14" t="str">
        <f t="shared" si="1"/>
        <v>המחאה</v>
      </c>
      <c r="C28" s="14">
        <v>100</v>
      </c>
      <c r="D28" s="14" t="str">
        <f t="shared" si="0"/>
        <v>ש'ח</v>
      </c>
      <c r="E28" s="24">
        <v>42252</v>
      </c>
    </row>
    <row r="29" spans="1:5">
      <c r="A29" s="14" t="str">
        <f>"157"</f>
        <v>157</v>
      </c>
      <c r="B29" s="14" t="str">
        <f t="shared" si="1"/>
        <v>המחאה</v>
      </c>
      <c r="C29" s="14">
        <v>100</v>
      </c>
      <c r="D29" s="14" t="str">
        <f t="shared" si="0"/>
        <v>ש'ח</v>
      </c>
      <c r="E29" s="24">
        <v>42252</v>
      </c>
    </row>
    <row r="30" spans="1:5">
      <c r="A30" s="14" t="str">
        <f>"224"</f>
        <v>224</v>
      </c>
      <c r="B30" s="14" t="str">
        <f t="shared" si="1"/>
        <v>המחאה</v>
      </c>
      <c r="C30" s="14">
        <v>100</v>
      </c>
      <c r="D30" s="14" t="str">
        <f t="shared" si="0"/>
        <v>ש'ח</v>
      </c>
      <c r="E30" s="24">
        <v>42252</v>
      </c>
    </row>
    <row r="31" spans="1:5">
      <c r="A31" s="14" t="str">
        <f>"422"</f>
        <v>422</v>
      </c>
      <c r="B31" s="14" t="str">
        <f t="shared" si="1"/>
        <v>המחאה</v>
      </c>
      <c r="C31" s="14">
        <v>100</v>
      </c>
      <c r="D31" s="14" t="str">
        <f t="shared" si="0"/>
        <v>ש'ח</v>
      </c>
      <c r="E31" s="24">
        <v>42252</v>
      </c>
    </row>
    <row r="32" spans="1:5">
      <c r="A32" s="14" t="str">
        <f>"1312"</f>
        <v>1312</v>
      </c>
      <c r="B32" s="14" t="str">
        <f t="shared" si="1"/>
        <v>המחאה</v>
      </c>
      <c r="C32" s="14">
        <v>100</v>
      </c>
      <c r="D32" s="14" t="str">
        <f t="shared" si="0"/>
        <v>ש'ח</v>
      </c>
      <c r="E32" s="24">
        <v>42255</v>
      </c>
    </row>
    <row r="33" spans="1:5">
      <c r="A33" s="14" t="str">
        <f>"109"</f>
        <v>109</v>
      </c>
      <c r="B33" s="14" t="str">
        <f t="shared" si="1"/>
        <v>המחאה</v>
      </c>
      <c r="C33" s="14">
        <v>100</v>
      </c>
      <c r="D33" s="14" t="str">
        <f t="shared" si="0"/>
        <v>ש'ח</v>
      </c>
      <c r="E33" s="24">
        <v>42257</v>
      </c>
    </row>
    <row r="34" spans="1:5">
      <c r="A34" s="14" t="str">
        <f>"10161"</f>
        <v>10161</v>
      </c>
      <c r="B34" s="14" t="str">
        <f t="shared" si="1"/>
        <v>המחאה</v>
      </c>
      <c r="C34" s="14">
        <v>100</v>
      </c>
      <c r="D34" s="14" t="str">
        <f t="shared" ref="D34:D65" si="2">"ש'ח"</f>
        <v>ש'ח</v>
      </c>
      <c r="E34" s="24">
        <v>42257</v>
      </c>
    </row>
    <row r="35" spans="1:5">
      <c r="A35" s="14" t="str">
        <f>"608"</f>
        <v>608</v>
      </c>
      <c r="B35" s="14" t="str">
        <f t="shared" ref="B35:B66" si="3">"המחאה"</f>
        <v>המחאה</v>
      </c>
      <c r="C35" s="14">
        <v>100</v>
      </c>
      <c r="D35" s="14" t="str">
        <f t="shared" si="2"/>
        <v>ש'ח</v>
      </c>
      <c r="E35" s="24">
        <v>42257</v>
      </c>
    </row>
    <row r="36" spans="1:5">
      <c r="A36" s="14" t="str">
        <f>"367"</f>
        <v>367</v>
      </c>
      <c r="B36" s="14" t="str">
        <f t="shared" si="3"/>
        <v>המחאה</v>
      </c>
      <c r="C36" s="14">
        <v>100</v>
      </c>
      <c r="D36" s="14" t="str">
        <f t="shared" si="2"/>
        <v>ש'ח</v>
      </c>
      <c r="E36" s="24">
        <v>42262</v>
      </c>
    </row>
    <row r="37" spans="1:5">
      <c r="A37" s="14" t="str">
        <f>"3101"</f>
        <v>3101</v>
      </c>
      <c r="B37" s="14" t="str">
        <f t="shared" si="3"/>
        <v>המחאה</v>
      </c>
      <c r="C37" s="14">
        <v>100</v>
      </c>
      <c r="D37" s="14" t="str">
        <f t="shared" si="2"/>
        <v>ש'ח</v>
      </c>
      <c r="E37" s="24">
        <v>42264</v>
      </c>
    </row>
    <row r="38" spans="1:5">
      <c r="A38" s="14" t="str">
        <f>"1148"</f>
        <v>1148</v>
      </c>
      <c r="B38" s="14" t="str">
        <f t="shared" si="3"/>
        <v>המחאה</v>
      </c>
      <c r="C38" s="14">
        <v>100</v>
      </c>
      <c r="D38" s="14" t="str">
        <f t="shared" si="2"/>
        <v>ש'ח</v>
      </c>
      <c r="E38" s="24">
        <v>42267</v>
      </c>
    </row>
    <row r="39" spans="1:5">
      <c r="A39" s="14" t="str">
        <f>"088"</f>
        <v>088</v>
      </c>
      <c r="B39" s="14" t="str">
        <f t="shared" si="3"/>
        <v>המחאה</v>
      </c>
      <c r="C39" s="14">
        <v>100</v>
      </c>
      <c r="D39" s="14" t="str">
        <f t="shared" si="2"/>
        <v>ש'ח</v>
      </c>
      <c r="E39" s="24">
        <v>42267</v>
      </c>
    </row>
    <row r="40" spans="1:5">
      <c r="A40" s="14" t="str">
        <f>"7764"</f>
        <v>7764</v>
      </c>
      <c r="B40" s="14" t="str">
        <f t="shared" si="3"/>
        <v>המחאה</v>
      </c>
      <c r="C40" s="14">
        <v>100</v>
      </c>
      <c r="D40" s="14" t="str">
        <f t="shared" si="2"/>
        <v>ש'ח</v>
      </c>
      <c r="E40" s="24">
        <v>42267</v>
      </c>
    </row>
    <row r="41" spans="1:5">
      <c r="A41" s="14" t="str">
        <f>"5020"</f>
        <v>5020</v>
      </c>
      <c r="B41" s="14" t="str">
        <f t="shared" si="3"/>
        <v>המחאה</v>
      </c>
      <c r="C41" s="14">
        <v>100</v>
      </c>
      <c r="D41" s="14" t="str">
        <f t="shared" si="2"/>
        <v>ש'ח</v>
      </c>
      <c r="E41" s="24">
        <v>42272</v>
      </c>
    </row>
    <row r="42" spans="1:5">
      <c r="A42" s="14" t="str">
        <f>"337"</f>
        <v>337</v>
      </c>
      <c r="B42" s="14" t="str">
        <f t="shared" si="3"/>
        <v>המחאה</v>
      </c>
      <c r="C42" s="14">
        <v>100</v>
      </c>
      <c r="D42" s="14" t="str">
        <f t="shared" si="2"/>
        <v>ש'ח</v>
      </c>
      <c r="E42" s="24">
        <v>42273</v>
      </c>
    </row>
    <row r="43" spans="1:5">
      <c r="A43" s="14" t="str">
        <f>"1837"</f>
        <v>1837</v>
      </c>
      <c r="B43" s="14" t="str">
        <f t="shared" si="3"/>
        <v>המחאה</v>
      </c>
      <c r="C43" s="14">
        <v>100</v>
      </c>
      <c r="D43" s="14" t="str">
        <f t="shared" si="2"/>
        <v>ש'ח</v>
      </c>
      <c r="E43" s="24">
        <v>42277</v>
      </c>
    </row>
    <row r="44" spans="1:5">
      <c r="A44" s="14" t="str">
        <f>"236"</f>
        <v>236</v>
      </c>
      <c r="B44" s="14" t="str">
        <f t="shared" si="3"/>
        <v>המחאה</v>
      </c>
      <c r="C44" s="14">
        <v>100</v>
      </c>
      <c r="D44" s="14" t="str">
        <f t="shared" si="2"/>
        <v>ש'ח</v>
      </c>
      <c r="E44" s="24">
        <v>42277</v>
      </c>
    </row>
    <row r="45" spans="1:5">
      <c r="A45" s="14" t="str">
        <f>"185"</f>
        <v>185</v>
      </c>
      <c r="B45" s="14" t="str">
        <f t="shared" si="3"/>
        <v>המחאה</v>
      </c>
      <c r="C45" s="14">
        <v>100</v>
      </c>
      <c r="D45" s="14" t="str">
        <f t="shared" si="2"/>
        <v>ש'ח</v>
      </c>
      <c r="E45" s="24">
        <v>42277</v>
      </c>
    </row>
    <row r="46" spans="1:5">
      <c r="A46" s="14" t="str">
        <f>"938"</f>
        <v>938</v>
      </c>
      <c r="B46" s="14" t="str">
        <f t="shared" si="3"/>
        <v>המחאה</v>
      </c>
      <c r="C46" s="14">
        <v>100</v>
      </c>
      <c r="D46" s="14" t="str">
        <f t="shared" si="2"/>
        <v>ש'ח</v>
      </c>
      <c r="E46" s="24">
        <v>42277</v>
      </c>
    </row>
    <row r="47" spans="1:5">
      <c r="A47" s="14" t="str">
        <f>"403"</f>
        <v>403</v>
      </c>
      <c r="B47" s="14" t="str">
        <f t="shared" si="3"/>
        <v>המחאה</v>
      </c>
      <c r="C47" s="14">
        <v>100</v>
      </c>
      <c r="D47" s="14" t="str">
        <f t="shared" si="2"/>
        <v>ש'ח</v>
      </c>
      <c r="E47" s="24">
        <v>42277</v>
      </c>
    </row>
    <row r="48" spans="1:5">
      <c r="A48" s="14" t="str">
        <f>"1962"</f>
        <v>1962</v>
      </c>
      <c r="B48" s="14" t="str">
        <f t="shared" si="3"/>
        <v>המחאה</v>
      </c>
      <c r="C48" s="14">
        <v>100</v>
      </c>
      <c r="D48" s="14" t="str">
        <f t="shared" si="2"/>
        <v>ש'ח</v>
      </c>
      <c r="E48" s="24">
        <v>42279</v>
      </c>
    </row>
    <row r="49" spans="1:5">
      <c r="A49" s="14" t="str">
        <f>"11270"</f>
        <v>11270</v>
      </c>
      <c r="B49" s="14" t="str">
        <f t="shared" si="3"/>
        <v>המחאה</v>
      </c>
      <c r="C49" s="14">
        <v>100</v>
      </c>
      <c r="D49" s="14" t="str">
        <f t="shared" si="2"/>
        <v>ש'ח</v>
      </c>
      <c r="E49" s="24">
        <v>42280</v>
      </c>
    </row>
    <row r="50" spans="1:5">
      <c r="A50" s="14" t="str">
        <f>"599"</f>
        <v>599</v>
      </c>
      <c r="B50" s="14" t="str">
        <f t="shared" si="3"/>
        <v>המחאה</v>
      </c>
      <c r="C50" s="14">
        <v>100</v>
      </c>
      <c r="D50" s="14" t="str">
        <f t="shared" si="2"/>
        <v>ש'ח</v>
      </c>
      <c r="E50" s="24">
        <v>42282</v>
      </c>
    </row>
    <row r="51" spans="1:5">
      <c r="A51" s="14" t="str">
        <f>"10658"</f>
        <v>10658</v>
      </c>
      <c r="B51" s="14" t="str">
        <f t="shared" si="3"/>
        <v>המחאה</v>
      </c>
      <c r="C51" s="14">
        <v>100</v>
      </c>
      <c r="D51" s="14" t="str">
        <f t="shared" si="2"/>
        <v>ש'ח</v>
      </c>
      <c r="E51" s="24">
        <v>42282</v>
      </c>
    </row>
    <row r="52" spans="1:5">
      <c r="A52" s="14" t="str">
        <f>"10562"</f>
        <v>10562</v>
      </c>
      <c r="B52" s="14" t="str">
        <f t="shared" si="3"/>
        <v>המחאה</v>
      </c>
      <c r="C52" s="14">
        <v>100</v>
      </c>
      <c r="D52" s="14" t="str">
        <f t="shared" si="2"/>
        <v>ש'ח</v>
      </c>
      <c r="E52" s="24">
        <v>42282</v>
      </c>
    </row>
    <row r="53" spans="1:5">
      <c r="A53" s="14" t="str">
        <f>"158"</f>
        <v>158</v>
      </c>
      <c r="B53" s="14" t="str">
        <f t="shared" si="3"/>
        <v>המחאה</v>
      </c>
      <c r="C53" s="14">
        <v>100</v>
      </c>
      <c r="D53" s="14" t="str">
        <f t="shared" si="2"/>
        <v>ש'ח</v>
      </c>
      <c r="E53" s="24">
        <v>42282</v>
      </c>
    </row>
    <row r="54" spans="1:5">
      <c r="A54" s="14" t="str">
        <f>"423"</f>
        <v>423</v>
      </c>
      <c r="B54" s="14" t="str">
        <f t="shared" si="3"/>
        <v>המחאה</v>
      </c>
      <c r="C54" s="14">
        <v>100</v>
      </c>
      <c r="D54" s="14" t="str">
        <f t="shared" si="2"/>
        <v>ש'ח</v>
      </c>
      <c r="E54" s="24">
        <v>42282</v>
      </c>
    </row>
    <row r="55" spans="1:5">
      <c r="A55" s="14" t="str">
        <f>"110"</f>
        <v>110</v>
      </c>
      <c r="B55" s="14" t="str">
        <f t="shared" si="3"/>
        <v>המחאה</v>
      </c>
      <c r="C55" s="14">
        <v>100</v>
      </c>
      <c r="D55" s="14" t="str">
        <f t="shared" si="2"/>
        <v>ש'ח</v>
      </c>
      <c r="E55" s="24">
        <v>42287</v>
      </c>
    </row>
    <row r="56" spans="1:5">
      <c r="A56" s="14" t="str">
        <f>"609"</f>
        <v>609</v>
      </c>
      <c r="B56" s="14" t="str">
        <f t="shared" si="3"/>
        <v>המחאה</v>
      </c>
      <c r="C56" s="14">
        <v>100</v>
      </c>
      <c r="D56" s="14" t="str">
        <f t="shared" si="2"/>
        <v>ש'ח</v>
      </c>
      <c r="E56" s="24">
        <v>42287</v>
      </c>
    </row>
    <row r="57" spans="1:5">
      <c r="A57" s="14" t="str">
        <f>"368"</f>
        <v>368</v>
      </c>
      <c r="B57" s="14" t="str">
        <f t="shared" si="3"/>
        <v>המחאה</v>
      </c>
      <c r="C57" s="14">
        <v>100</v>
      </c>
      <c r="D57" s="14" t="str">
        <f t="shared" si="2"/>
        <v>ש'ח</v>
      </c>
      <c r="E57" s="24">
        <v>42292</v>
      </c>
    </row>
    <row r="58" spans="1:5">
      <c r="A58" s="14" t="str">
        <f>"3102"</f>
        <v>3102</v>
      </c>
      <c r="B58" s="14" t="str">
        <f t="shared" si="3"/>
        <v>המחאה</v>
      </c>
      <c r="C58" s="14">
        <v>100</v>
      </c>
      <c r="D58" s="14" t="str">
        <f t="shared" si="2"/>
        <v>ש'ח</v>
      </c>
      <c r="E58" s="24">
        <v>42294</v>
      </c>
    </row>
    <row r="59" spans="1:5">
      <c r="A59" s="14" t="str">
        <f>"237"</f>
        <v>237</v>
      </c>
      <c r="B59" s="14" t="str">
        <f t="shared" si="3"/>
        <v>המחאה</v>
      </c>
      <c r="C59" s="14">
        <v>100</v>
      </c>
      <c r="D59" s="14" t="str">
        <f t="shared" si="2"/>
        <v>ש'ח</v>
      </c>
      <c r="E59" s="24">
        <v>42307</v>
      </c>
    </row>
    <row r="60" spans="1:5">
      <c r="A60" s="14" t="str">
        <f>"1963"</f>
        <v>1963</v>
      </c>
      <c r="B60" s="14" t="str">
        <f t="shared" si="3"/>
        <v>המחאה</v>
      </c>
      <c r="C60" s="14">
        <v>100</v>
      </c>
      <c r="D60" s="14" t="str">
        <f t="shared" si="2"/>
        <v>ש'ח</v>
      </c>
      <c r="E60" s="24">
        <v>42310</v>
      </c>
    </row>
    <row r="61" spans="1:5">
      <c r="A61" s="14" t="str">
        <f>"11271"</f>
        <v>11271</v>
      </c>
      <c r="B61" s="14" t="str">
        <f t="shared" si="3"/>
        <v>המחאה</v>
      </c>
      <c r="C61" s="14">
        <v>100</v>
      </c>
      <c r="D61" s="14" t="str">
        <f t="shared" si="2"/>
        <v>ש'ח</v>
      </c>
      <c r="E61" s="24">
        <v>42311</v>
      </c>
    </row>
    <row r="62" spans="1:5">
      <c r="A62" s="14" t="str">
        <f>"600"</f>
        <v>600</v>
      </c>
      <c r="B62" s="14" t="str">
        <f t="shared" si="3"/>
        <v>המחאה</v>
      </c>
      <c r="C62" s="14">
        <v>100</v>
      </c>
      <c r="D62" s="14" t="str">
        <f t="shared" si="2"/>
        <v>ש'ח</v>
      </c>
      <c r="E62" s="24">
        <v>42313</v>
      </c>
    </row>
    <row r="63" spans="1:5">
      <c r="A63" s="14" t="str">
        <f>"10563"</f>
        <v>10563</v>
      </c>
      <c r="B63" s="14" t="str">
        <f t="shared" si="3"/>
        <v>המחאה</v>
      </c>
      <c r="C63" s="14">
        <v>100</v>
      </c>
      <c r="D63" s="14" t="str">
        <f t="shared" si="2"/>
        <v>ש'ח</v>
      </c>
      <c r="E63" s="24">
        <v>42313</v>
      </c>
    </row>
    <row r="64" spans="1:5">
      <c r="A64" s="14" t="str">
        <f>"10659"</f>
        <v>10659</v>
      </c>
      <c r="B64" s="14" t="str">
        <f t="shared" si="3"/>
        <v>המחאה</v>
      </c>
      <c r="C64" s="14">
        <v>100</v>
      </c>
      <c r="D64" s="14" t="str">
        <f t="shared" si="2"/>
        <v>ש'ח</v>
      </c>
      <c r="E64" s="24">
        <v>42313</v>
      </c>
    </row>
    <row r="65" spans="1:5">
      <c r="A65" s="14" t="str">
        <f>"159"</f>
        <v>159</v>
      </c>
      <c r="B65" s="14" t="str">
        <f t="shared" si="3"/>
        <v>המחאה</v>
      </c>
      <c r="C65" s="14">
        <v>100</v>
      </c>
      <c r="D65" s="14" t="str">
        <f t="shared" si="2"/>
        <v>ש'ח</v>
      </c>
      <c r="E65" s="24">
        <v>42313</v>
      </c>
    </row>
    <row r="66" spans="1:5">
      <c r="A66" s="14" t="str">
        <f>"424"</f>
        <v>424</v>
      </c>
      <c r="B66" s="14" t="str">
        <f t="shared" si="3"/>
        <v>המחאה</v>
      </c>
      <c r="C66" s="14">
        <v>100</v>
      </c>
      <c r="D66" s="14" t="str">
        <f t="shared" ref="D66:D82" si="4">"ש'ח"</f>
        <v>ש'ח</v>
      </c>
      <c r="E66" s="24">
        <v>42313</v>
      </c>
    </row>
    <row r="67" spans="1:5">
      <c r="A67" s="14" t="str">
        <f>"111"</f>
        <v>111</v>
      </c>
      <c r="B67" s="14" t="str">
        <f t="shared" ref="B67:B82" si="5">"המחאה"</f>
        <v>המחאה</v>
      </c>
      <c r="C67" s="14">
        <v>100</v>
      </c>
      <c r="D67" s="14" t="str">
        <f t="shared" si="4"/>
        <v>ש'ח</v>
      </c>
      <c r="E67" s="24">
        <v>42318</v>
      </c>
    </row>
    <row r="68" spans="1:5">
      <c r="A68" s="14" t="str">
        <f>"610"</f>
        <v>610</v>
      </c>
      <c r="B68" s="14" t="str">
        <f t="shared" si="5"/>
        <v>המחאה</v>
      </c>
      <c r="C68" s="14">
        <v>100</v>
      </c>
      <c r="D68" s="14" t="str">
        <f t="shared" si="4"/>
        <v>ש'ח</v>
      </c>
      <c r="E68" s="24">
        <v>42318</v>
      </c>
    </row>
    <row r="69" spans="1:5">
      <c r="A69" s="14" t="str">
        <f>"370"</f>
        <v>370</v>
      </c>
      <c r="B69" s="14" t="str">
        <f t="shared" si="5"/>
        <v>המחאה</v>
      </c>
      <c r="C69" s="14">
        <v>100</v>
      </c>
      <c r="D69" s="14" t="str">
        <f t="shared" si="4"/>
        <v>ש'ח</v>
      </c>
      <c r="E69" s="24">
        <v>42323</v>
      </c>
    </row>
    <row r="70" spans="1:5">
      <c r="A70" s="14" t="str">
        <f>"3103"</f>
        <v>3103</v>
      </c>
      <c r="B70" s="14" t="str">
        <f t="shared" si="5"/>
        <v>המחאה</v>
      </c>
      <c r="C70" s="14">
        <v>100</v>
      </c>
      <c r="D70" s="14" t="str">
        <f t="shared" si="4"/>
        <v>ש'ח</v>
      </c>
      <c r="E70" s="24">
        <v>42325</v>
      </c>
    </row>
    <row r="71" spans="1:5">
      <c r="A71" s="14" t="str">
        <f>"240"</f>
        <v>240</v>
      </c>
      <c r="B71" s="14" t="str">
        <f t="shared" si="5"/>
        <v>המחאה</v>
      </c>
      <c r="C71" s="14">
        <v>100</v>
      </c>
      <c r="D71" s="14" t="str">
        <f t="shared" si="4"/>
        <v>ש'ח</v>
      </c>
      <c r="E71" s="24">
        <v>42339</v>
      </c>
    </row>
    <row r="72" spans="1:5">
      <c r="A72" s="14" t="str">
        <f>"601"</f>
        <v>601</v>
      </c>
      <c r="B72" s="14" t="str">
        <f t="shared" si="5"/>
        <v>המחאה</v>
      </c>
      <c r="C72" s="14">
        <v>100</v>
      </c>
      <c r="D72" s="14" t="str">
        <f t="shared" si="4"/>
        <v>ש'ח</v>
      </c>
      <c r="E72" s="24">
        <v>42343</v>
      </c>
    </row>
    <row r="73" spans="1:5">
      <c r="A73" s="14" t="str">
        <f>"160"</f>
        <v>160</v>
      </c>
      <c r="B73" s="14" t="str">
        <f t="shared" si="5"/>
        <v>המחאה</v>
      </c>
      <c r="C73" s="14">
        <v>100</v>
      </c>
      <c r="D73" s="14" t="str">
        <f t="shared" si="4"/>
        <v>ש'ח</v>
      </c>
      <c r="E73" s="24">
        <v>42343</v>
      </c>
    </row>
    <row r="74" spans="1:5">
      <c r="A74" s="14" t="str">
        <f>"425"</f>
        <v>425</v>
      </c>
      <c r="B74" s="14" t="str">
        <f t="shared" si="5"/>
        <v>המחאה</v>
      </c>
      <c r="C74" s="14">
        <v>100</v>
      </c>
      <c r="D74" s="14" t="str">
        <f t="shared" si="4"/>
        <v>ש'ח</v>
      </c>
      <c r="E74" s="24">
        <v>42343</v>
      </c>
    </row>
    <row r="75" spans="1:5">
      <c r="A75" s="14" t="str">
        <f>"112"</f>
        <v>112</v>
      </c>
      <c r="B75" s="14" t="str">
        <f t="shared" si="5"/>
        <v>המחאה</v>
      </c>
      <c r="C75" s="14">
        <v>100</v>
      </c>
      <c r="D75" s="14" t="str">
        <f t="shared" si="4"/>
        <v>ש'ח</v>
      </c>
      <c r="E75" s="24">
        <v>42348</v>
      </c>
    </row>
    <row r="76" spans="1:5">
      <c r="A76" s="14" t="str">
        <f>"611"</f>
        <v>611</v>
      </c>
      <c r="B76" s="14" t="str">
        <f t="shared" si="5"/>
        <v>המחאה</v>
      </c>
      <c r="C76" s="14">
        <v>100</v>
      </c>
      <c r="D76" s="14" t="str">
        <f t="shared" si="4"/>
        <v>ש'ח</v>
      </c>
      <c r="E76" s="24">
        <v>42348</v>
      </c>
    </row>
    <row r="77" spans="1:5">
      <c r="A77" s="14" t="str">
        <f>"3104"</f>
        <v>3104</v>
      </c>
      <c r="B77" s="14" t="str">
        <f t="shared" si="5"/>
        <v>המחאה</v>
      </c>
      <c r="C77" s="14">
        <v>100</v>
      </c>
      <c r="D77" s="14" t="str">
        <f t="shared" si="4"/>
        <v>ש'ח</v>
      </c>
      <c r="E77" s="24">
        <v>42355</v>
      </c>
    </row>
    <row r="78" spans="1:5">
      <c r="A78" s="14" t="str">
        <f>"426"</f>
        <v>426</v>
      </c>
      <c r="B78" s="14" t="str">
        <f t="shared" si="5"/>
        <v>המחאה</v>
      </c>
      <c r="C78" s="14">
        <v>100</v>
      </c>
      <c r="D78" s="14" t="str">
        <f t="shared" si="4"/>
        <v>ש'ח</v>
      </c>
      <c r="E78" s="24">
        <v>42374</v>
      </c>
    </row>
    <row r="79" spans="1:5">
      <c r="A79" s="14" t="str">
        <f>"612"</f>
        <v>612</v>
      </c>
      <c r="B79" s="14" t="str">
        <f t="shared" si="5"/>
        <v>המחאה</v>
      </c>
      <c r="C79" s="14">
        <v>100</v>
      </c>
      <c r="D79" s="14" t="str">
        <f t="shared" si="4"/>
        <v>ש'ח</v>
      </c>
      <c r="E79" s="24">
        <v>42379</v>
      </c>
    </row>
    <row r="80" spans="1:5">
      <c r="A80" s="14" t="str">
        <f>"613"</f>
        <v>613</v>
      </c>
      <c r="B80" s="14" t="str">
        <f t="shared" si="5"/>
        <v>המחאה</v>
      </c>
      <c r="C80" s="14">
        <v>100</v>
      </c>
      <c r="D80" s="14" t="str">
        <f t="shared" si="4"/>
        <v>ש'ח</v>
      </c>
      <c r="E80" s="24">
        <v>42410</v>
      </c>
    </row>
    <row r="81" spans="1:5">
      <c r="A81" s="14" t="str">
        <f>"614"</f>
        <v>614</v>
      </c>
      <c r="B81" s="14" t="str">
        <f t="shared" si="5"/>
        <v>המחאה</v>
      </c>
      <c r="C81" s="14">
        <v>100</v>
      </c>
      <c r="D81" s="14" t="str">
        <f t="shared" si="4"/>
        <v>ש'ח</v>
      </c>
      <c r="E81" s="24">
        <v>42439</v>
      </c>
    </row>
    <row r="82" spans="1:5">
      <c r="A82" s="14" t="str">
        <f>"615"</f>
        <v>615</v>
      </c>
      <c r="B82" s="14" t="str">
        <f t="shared" si="5"/>
        <v>המחאה</v>
      </c>
      <c r="C82" s="14">
        <v>100</v>
      </c>
      <c r="D82" s="14" t="str">
        <f t="shared" si="4"/>
        <v>ש'ח</v>
      </c>
      <c r="E82" s="24">
        <v>42470</v>
      </c>
    </row>
    <row r="83" spans="1:5">
      <c r="A83" s="14" t="str">
        <f>"185"</f>
        <v>185</v>
      </c>
      <c r="B83" s="14" t="str">
        <f t="shared" ref="B83:B97" si="6">"המחאה"</f>
        <v>המחאה</v>
      </c>
      <c r="C83" s="14">
        <v>100</v>
      </c>
      <c r="D83" s="14" t="str">
        <f t="shared" ref="D83:D97" si="7">"ש'ח"</f>
        <v>ש'ח</v>
      </c>
      <c r="E83" s="24">
        <v>42277</v>
      </c>
    </row>
    <row r="84" spans="1:5">
      <c r="A84" s="14" t="str">
        <f>"938"</f>
        <v>938</v>
      </c>
      <c r="B84" s="14" t="str">
        <f t="shared" si="6"/>
        <v>המחאה</v>
      </c>
      <c r="C84" s="14">
        <v>100</v>
      </c>
      <c r="D84" s="14" t="str">
        <f t="shared" si="7"/>
        <v>ש'ח</v>
      </c>
      <c r="E84" s="24">
        <v>42277</v>
      </c>
    </row>
    <row r="85" spans="1:5">
      <c r="A85" s="14" t="str">
        <f>"403"</f>
        <v>403</v>
      </c>
      <c r="B85" s="14" t="str">
        <f t="shared" si="6"/>
        <v>המחאה</v>
      </c>
      <c r="C85" s="14">
        <v>100</v>
      </c>
      <c r="D85" s="14" t="str">
        <f t="shared" si="7"/>
        <v>ש'ח</v>
      </c>
      <c r="E85" s="24">
        <v>42277</v>
      </c>
    </row>
    <row r="86" spans="1:5">
      <c r="A86" s="14" t="str">
        <f>"1962"</f>
        <v>1962</v>
      </c>
      <c r="B86" s="14" t="str">
        <f t="shared" si="6"/>
        <v>המחאה</v>
      </c>
      <c r="C86" s="14">
        <v>100</v>
      </c>
      <c r="D86" s="14" t="str">
        <f t="shared" si="7"/>
        <v>ש'ח</v>
      </c>
      <c r="E86" s="24">
        <v>42279</v>
      </c>
    </row>
    <row r="87" spans="1:5">
      <c r="A87" s="14" t="str">
        <f>"11270"</f>
        <v>11270</v>
      </c>
      <c r="B87" s="14" t="str">
        <f t="shared" si="6"/>
        <v>המחאה</v>
      </c>
      <c r="C87" s="14">
        <v>100</v>
      </c>
      <c r="D87" s="14" t="str">
        <f t="shared" si="7"/>
        <v>ש'ח</v>
      </c>
      <c r="E87" s="24">
        <v>42280</v>
      </c>
    </row>
    <row r="88" spans="1:5">
      <c r="A88" s="14" t="str">
        <f>"599"</f>
        <v>599</v>
      </c>
      <c r="B88" s="14" t="str">
        <f t="shared" si="6"/>
        <v>המחאה</v>
      </c>
      <c r="C88" s="14">
        <v>100</v>
      </c>
      <c r="D88" s="14" t="str">
        <f t="shared" si="7"/>
        <v>ש'ח</v>
      </c>
      <c r="E88" s="24">
        <v>42282</v>
      </c>
    </row>
    <row r="89" spans="1:5">
      <c r="A89" s="14" t="str">
        <f>"10562"</f>
        <v>10562</v>
      </c>
      <c r="B89" s="14" t="str">
        <f t="shared" si="6"/>
        <v>המחאה</v>
      </c>
      <c r="C89" s="14">
        <v>100</v>
      </c>
      <c r="D89" s="14" t="str">
        <f t="shared" si="7"/>
        <v>ש'ח</v>
      </c>
      <c r="E89" s="24">
        <v>42282</v>
      </c>
    </row>
    <row r="90" spans="1:5">
      <c r="A90" s="14" t="str">
        <f>"10658"</f>
        <v>10658</v>
      </c>
      <c r="B90" s="14" t="str">
        <f t="shared" si="6"/>
        <v>המחאה</v>
      </c>
      <c r="C90" s="14">
        <v>100</v>
      </c>
      <c r="D90" s="14" t="str">
        <f t="shared" si="7"/>
        <v>ש'ח</v>
      </c>
      <c r="E90" s="24">
        <v>42282</v>
      </c>
    </row>
    <row r="91" spans="1:5">
      <c r="A91" s="14" t="str">
        <f>"158"</f>
        <v>158</v>
      </c>
      <c r="B91" s="14" t="str">
        <f t="shared" si="6"/>
        <v>המחאה</v>
      </c>
      <c r="C91" s="14">
        <v>100</v>
      </c>
      <c r="D91" s="14" t="str">
        <f t="shared" si="7"/>
        <v>ש'ח</v>
      </c>
      <c r="E91" s="24">
        <v>42282</v>
      </c>
    </row>
    <row r="92" spans="1:5">
      <c r="A92" s="14" t="str">
        <f>"423"</f>
        <v>423</v>
      </c>
      <c r="B92" s="14" t="str">
        <f t="shared" si="6"/>
        <v>המחאה</v>
      </c>
      <c r="C92" s="14">
        <v>100</v>
      </c>
      <c r="D92" s="14" t="str">
        <f t="shared" si="7"/>
        <v>ש'ח</v>
      </c>
      <c r="E92" s="24">
        <v>42282</v>
      </c>
    </row>
    <row r="93" spans="1:5">
      <c r="A93" s="14" t="str">
        <f>"110"</f>
        <v>110</v>
      </c>
      <c r="B93" s="14" t="str">
        <f t="shared" si="6"/>
        <v>המחאה</v>
      </c>
      <c r="C93" s="14">
        <v>100</v>
      </c>
      <c r="D93" s="14" t="str">
        <f t="shared" si="7"/>
        <v>ש'ח</v>
      </c>
      <c r="E93" s="24">
        <v>42287</v>
      </c>
    </row>
    <row r="94" spans="1:5">
      <c r="A94" s="14" t="str">
        <f>"609"</f>
        <v>609</v>
      </c>
      <c r="B94" s="14" t="str">
        <f t="shared" si="6"/>
        <v>המחאה</v>
      </c>
      <c r="C94" s="14">
        <v>100</v>
      </c>
      <c r="D94" s="14" t="str">
        <f t="shared" si="7"/>
        <v>ש'ח</v>
      </c>
      <c r="E94" s="24">
        <v>42287</v>
      </c>
    </row>
    <row r="95" spans="1:5">
      <c r="A95" s="14" t="str">
        <f>"368"</f>
        <v>368</v>
      </c>
      <c r="B95" s="14" t="str">
        <f t="shared" si="6"/>
        <v>המחאה</v>
      </c>
      <c r="C95" s="14">
        <v>100</v>
      </c>
      <c r="D95" s="14" t="str">
        <f t="shared" si="7"/>
        <v>ש'ח</v>
      </c>
      <c r="E95" s="24">
        <v>42292</v>
      </c>
    </row>
    <row r="96" spans="1:5">
      <c r="A96" s="14" t="str">
        <f>"3102"</f>
        <v>3102</v>
      </c>
      <c r="B96" s="14" t="str">
        <f t="shared" si="6"/>
        <v>המחאה</v>
      </c>
      <c r="C96" s="14">
        <v>100</v>
      </c>
      <c r="D96" s="14" t="str">
        <f t="shared" si="7"/>
        <v>ש'ח</v>
      </c>
      <c r="E96" s="24">
        <v>42294</v>
      </c>
    </row>
    <row r="97" spans="1:5">
      <c r="A97" s="14" t="str">
        <f>"237"</f>
        <v>237</v>
      </c>
      <c r="B97" s="14" t="str">
        <f t="shared" si="6"/>
        <v>המחאה</v>
      </c>
      <c r="C97" s="14">
        <v>100</v>
      </c>
      <c r="D97" s="14" t="str">
        <f t="shared" si="7"/>
        <v>ש'ח</v>
      </c>
      <c r="E97" s="24">
        <v>42307</v>
      </c>
    </row>
    <row r="98" spans="1:5">
      <c r="A98" s="14" t="str">
        <f>"1963"</f>
        <v>1963</v>
      </c>
      <c r="B98" s="14" t="str">
        <f t="shared" ref="B98:B120" si="8">"המחאה"</f>
        <v>המחאה</v>
      </c>
      <c r="C98" s="14">
        <v>100</v>
      </c>
      <c r="D98" s="14" t="str">
        <f t="shared" ref="D98:D120" si="9">"ש'ח"</f>
        <v>ש'ח</v>
      </c>
      <c r="E98" s="24">
        <v>42310</v>
      </c>
    </row>
    <row r="99" spans="1:5">
      <c r="A99" s="14" t="str">
        <f>"11271"</f>
        <v>11271</v>
      </c>
      <c r="B99" s="14" t="str">
        <f t="shared" si="8"/>
        <v>המחאה</v>
      </c>
      <c r="C99" s="14">
        <v>100</v>
      </c>
      <c r="D99" s="14" t="str">
        <f t="shared" si="9"/>
        <v>ש'ח</v>
      </c>
      <c r="E99" s="24">
        <v>42311</v>
      </c>
    </row>
    <row r="100" spans="1:5">
      <c r="A100" s="14" t="str">
        <f>"10563"</f>
        <v>10563</v>
      </c>
      <c r="B100" s="14" t="str">
        <f t="shared" si="8"/>
        <v>המחאה</v>
      </c>
      <c r="C100" s="14">
        <v>100</v>
      </c>
      <c r="D100" s="14" t="str">
        <f t="shared" si="9"/>
        <v>ש'ח</v>
      </c>
      <c r="E100" s="24">
        <v>42313</v>
      </c>
    </row>
    <row r="101" spans="1:5">
      <c r="A101" s="14" t="str">
        <f>"600"</f>
        <v>600</v>
      </c>
      <c r="B101" s="14" t="str">
        <f t="shared" si="8"/>
        <v>המחאה</v>
      </c>
      <c r="C101" s="14">
        <v>100</v>
      </c>
      <c r="D101" s="14" t="str">
        <f t="shared" si="9"/>
        <v>ש'ח</v>
      </c>
      <c r="E101" s="24">
        <v>42313</v>
      </c>
    </row>
    <row r="102" spans="1:5">
      <c r="A102" s="14" t="str">
        <f>"10659"</f>
        <v>10659</v>
      </c>
      <c r="B102" s="14" t="str">
        <f t="shared" si="8"/>
        <v>המחאה</v>
      </c>
      <c r="C102" s="14">
        <v>100</v>
      </c>
      <c r="D102" s="14" t="str">
        <f t="shared" si="9"/>
        <v>ש'ח</v>
      </c>
      <c r="E102" s="24">
        <v>42313</v>
      </c>
    </row>
    <row r="103" spans="1:5">
      <c r="A103" s="14" t="str">
        <f>"159"</f>
        <v>159</v>
      </c>
      <c r="B103" s="14" t="str">
        <f t="shared" si="8"/>
        <v>המחאה</v>
      </c>
      <c r="C103" s="14">
        <v>100</v>
      </c>
      <c r="D103" s="14" t="str">
        <f t="shared" si="9"/>
        <v>ש'ח</v>
      </c>
      <c r="E103" s="24">
        <v>42313</v>
      </c>
    </row>
    <row r="104" spans="1:5">
      <c r="A104" s="14" t="str">
        <f>"424"</f>
        <v>424</v>
      </c>
      <c r="B104" s="14" t="str">
        <f t="shared" si="8"/>
        <v>המחאה</v>
      </c>
      <c r="C104" s="14">
        <v>100</v>
      </c>
      <c r="D104" s="14" t="str">
        <f t="shared" si="9"/>
        <v>ש'ח</v>
      </c>
      <c r="E104" s="24">
        <v>42313</v>
      </c>
    </row>
    <row r="105" spans="1:5">
      <c r="A105" s="14" t="str">
        <f>"111"</f>
        <v>111</v>
      </c>
      <c r="B105" s="14" t="str">
        <f t="shared" si="8"/>
        <v>המחאה</v>
      </c>
      <c r="C105" s="14">
        <v>100</v>
      </c>
      <c r="D105" s="14" t="str">
        <f t="shared" si="9"/>
        <v>ש'ח</v>
      </c>
      <c r="E105" s="24">
        <v>42318</v>
      </c>
    </row>
    <row r="106" spans="1:5">
      <c r="A106" s="14" t="str">
        <f>"610"</f>
        <v>610</v>
      </c>
      <c r="B106" s="14" t="str">
        <f t="shared" si="8"/>
        <v>המחאה</v>
      </c>
      <c r="C106" s="14">
        <v>100</v>
      </c>
      <c r="D106" s="14" t="str">
        <f t="shared" si="9"/>
        <v>ש'ח</v>
      </c>
      <c r="E106" s="24">
        <v>42318</v>
      </c>
    </row>
    <row r="107" spans="1:5">
      <c r="A107" s="14" t="str">
        <f>"370"</f>
        <v>370</v>
      </c>
      <c r="B107" s="14" t="str">
        <f t="shared" si="8"/>
        <v>המחאה</v>
      </c>
      <c r="C107" s="14">
        <v>100</v>
      </c>
      <c r="D107" s="14" t="str">
        <f t="shared" si="9"/>
        <v>ש'ח</v>
      </c>
      <c r="E107" s="24">
        <v>42323</v>
      </c>
    </row>
    <row r="108" spans="1:5">
      <c r="A108" s="14" t="str">
        <f>"3103"</f>
        <v>3103</v>
      </c>
      <c r="B108" s="14" t="str">
        <f t="shared" si="8"/>
        <v>המחאה</v>
      </c>
      <c r="C108" s="14">
        <v>100</v>
      </c>
      <c r="D108" s="14" t="str">
        <f t="shared" si="9"/>
        <v>ש'ח</v>
      </c>
      <c r="E108" s="24">
        <v>42325</v>
      </c>
    </row>
    <row r="109" spans="1:5">
      <c r="A109" s="14" t="str">
        <f>"240"</f>
        <v>240</v>
      </c>
      <c r="B109" s="14" t="str">
        <f t="shared" si="8"/>
        <v>המחאה</v>
      </c>
      <c r="C109" s="14">
        <v>100</v>
      </c>
      <c r="D109" s="14" t="str">
        <f t="shared" si="9"/>
        <v>ש'ח</v>
      </c>
      <c r="E109" s="24">
        <v>42339</v>
      </c>
    </row>
    <row r="110" spans="1:5">
      <c r="A110" s="14" t="str">
        <f>"601"</f>
        <v>601</v>
      </c>
      <c r="B110" s="14" t="str">
        <f t="shared" si="8"/>
        <v>המחאה</v>
      </c>
      <c r="C110" s="14">
        <v>100</v>
      </c>
      <c r="D110" s="14" t="str">
        <f t="shared" si="9"/>
        <v>ש'ח</v>
      </c>
      <c r="E110" s="24">
        <v>42343</v>
      </c>
    </row>
    <row r="111" spans="1:5">
      <c r="A111" s="14" t="str">
        <f>"160"</f>
        <v>160</v>
      </c>
      <c r="B111" s="14" t="str">
        <f t="shared" si="8"/>
        <v>המחאה</v>
      </c>
      <c r="C111" s="14">
        <v>100</v>
      </c>
      <c r="D111" s="14" t="str">
        <f t="shared" si="9"/>
        <v>ש'ח</v>
      </c>
      <c r="E111" s="24">
        <v>42343</v>
      </c>
    </row>
    <row r="112" spans="1:5">
      <c r="A112" s="14" t="str">
        <f>"425"</f>
        <v>425</v>
      </c>
      <c r="B112" s="14" t="str">
        <f t="shared" si="8"/>
        <v>המחאה</v>
      </c>
      <c r="C112" s="14">
        <v>100</v>
      </c>
      <c r="D112" s="14" t="str">
        <f t="shared" si="9"/>
        <v>ש'ח</v>
      </c>
      <c r="E112" s="24">
        <v>42343</v>
      </c>
    </row>
    <row r="113" spans="1:5">
      <c r="A113" s="14" t="str">
        <f>"112"</f>
        <v>112</v>
      </c>
      <c r="B113" s="14" t="str">
        <f t="shared" si="8"/>
        <v>המחאה</v>
      </c>
      <c r="C113" s="14">
        <v>100</v>
      </c>
      <c r="D113" s="14" t="str">
        <f t="shared" si="9"/>
        <v>ש'ח</v>
      </c>
      <c r="E113" s="24">
        <v>42348</v>
      </c>
    </row>
    <row r="114" spans="1:5">
      <c r="A114" s="14" t="str">
        <f>"611"</f>
        <v>611</v>
      </c>
      <c r="B114" s="14" t="str">
        <f t="shared" si="8"/>
        <v>המחאה</v>
      </c>
      <c r="C114" s="14">
        <v>100</v>
      </c>
      <c r="D114" s="14" t="str">
        <f t="shared" si="9"/>
        <v>ש'ח</v>
      </c>
      <c r="E114" s="24">
        <v>42348</v>
      </c>
    </row>
    <row r="115" spans="1:5">
      <c r="A115" s="14" t="str">
        <f>"3104"</f>
        <v>3104</v>
      </c>
      <c r="B115" s="14" t="str">
        <f t="shared" si="8"/>
        <v>המחאה</v>
      </c>
      <c r="C115" s="14">
        <v>100</v>
      </c>
      <c r="D115" s="14" t="str">
        <f t="shared" si="9"/>
        <v>ש'ח</v>
      </c>
      <c r="E115" s="24">
        <v>42355</v>
      </c>
    </row>
    <row r="116" spans="1:5">
      <c r="A116" s="14" t="str">
        <f>"426"</f>
        <v>426</v>
      </c>
      <c r="B116" s="14" t="str">
        <f t="shared" si="8"/>
        <v>המחאה</v>
      </c>
      <c r="C116" s="14">
        <v>100</v>
      </c>
      <c r="D116" s="14" t="str">
        <f t="shared" si="9"/>
        <v>ש'ח</v>
      </c>
      <c r="E116" s="24">
        <v>42374</v>
      </c>
    </row>
    <row r="117" spans="1:5">
      <c r="A117" s="14" t="str">
        <f>"612"</f>
        <v>612</v>
      </c>
      <c r="B117" s="14" t="str">
        <f t="shared" si="8"/>
        <v>המחאה</v>
      </c>
      <c r="C117" s="14">
        <v>100</v>
      </c>
      <c r="D117" s="14" t="str">
        <f t="shared" si="9"/>
        <v>ש'ח</v>
      </c>
      <c r="E117" s="24">
        <v>42379</v>
      </c>
    </row>
    <row r="118" spans="1:5">
      <c r="A118" s="14" t="str">
        <f>"613"</f>
        <v>613</v>
      </c>
      <c r="B118" s="14" t="str">
        <f t="shared" si="8"/>
        <v>המחאה</v>
      </c>
      <c r="C118" s="14">
        <v>100</v>
      </c>
      <c r="D118" s="14" t="str">
        <f t="shared" si="9"/>
        <v>ש'ח</v>
      </c>
      <c r="E118" s="24">
        <v>42410</v>
      </c>
    </row>
    <row r="119" spans="1:5">
      <c r="A119" s="14" t="str">
        <f>"614"</f>
        <v>614</v>
      </c>
      <c r="B119" s="14" t="str">
        <f t="shared" si="8"/>
        <v>המחאה</v>
      </c>
      <c r="C119" s="14">
        <v>100</v>
      </c>
      <c r="D119" s="14" t="str">
        <f t="shared" si="9"/>
        <v>ש'ח</v>
      </c>
      <c r="E119" s="24">
        <v>42439</v>
      </c>
    </row>
    <row r="120" spans="1:5">
      <c r="A120" s="14" t="str">
        <f>"615"</f>
        <v>615</v>
      </c>
      <c r="B120" s="14" t="str">
        <f t="shared" si="8"/>
        <v>המחאה</v>
      </c>
      <c r="C120" s="14">
        <v>100</v>
      </c>
      <c r="D120" s="14" t="str">
        <f t="shared" si="9"/>
        <v>ש'ח</v>
      </c>
      <c r="E120" s="24">
        <v>42470</v>
      </c>
    </row>
  </sheetData>
  <autoFilter ref="A1:E9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S65"/>
  <sheetViews>
    <sheetView showGridLines="0" rightToLeft="1" zoomScale="90" zoomScaleNormal="90" workbookViewId="0">
      <pane xSplit="2" ySplit="3" topLeftCell="C17" activePane="bottomRight" state="frozen"/>
      <selection pane="topRight" activeCell="C1" sqref="C1"/>
      <selection pane="bottomLeft" activeCell="A4" sqref="A4"/>
      <selection pane="bottomRight" activeCell="D29" sqref="D29"/>
    </sheetView>
  </sheetViews>
  <sheetFormatPr defaultColWidth="8.7109375" defaultRowHeight="15"/>
  <cols>
    <col min="1" max="1" width="3.7109375" style="76" customWidth="1"/>
    <col min="2" max="2" width="35.28515625" style="79" customWidth="1"/>
    <col min="3" max="4" width="17.5703125" style="80" customWidth="1"/>
    <col min="5" max="5" width="17.7109375" style="13" bestFit="1" customWidth="1"/>
    <col min="6" max="6" width="21" style="13" bestFit="1" customWidth="1"/>
    <col min="7" max="7" width="10.5703125" style="135" bestFit="1" customWidth="1"/>
    <col min="8" max="18" width="11.42578125" style="76" customWidth="1"/>
    <col min="19" max="19" width="9.7109375" style="76" bestFit="1" customWidth="1"/>
    <col min="20" max="16384" width="8.7109375" style="76"/>
  </cols>
  <sheetData>
    <row r="1" spans="2:19" ht="21">
      <c r="B1" s="134"/>
      <c r="E1" s="4"/>
      <c r="F1" s="4"/>
      <c r="G1" s="80"/>
      <c r="L1" s="85"/>
    </row>
    <row r="2" spans="2:19">
      <c r="E2" s="4"/>
      <c r="F2" s="4"/>
      <c r="G2" s="80"/>
    </row>
    <row r="3" spans="2:19" ht="15.75" thickBot="1">
      <c r="B3" s="150" t="s">
        <v>44</v>
      </c>
      <c r="C3" s="151" t="s">
        <v>49</v>
      </c>
      <c r="D3" s="151" t="s">
        <v>45</v>
      </c>
      <c r="E3" s="152" t="s">
        <v>46</v>
      </c>
      <c r="F3" s="152" t="s">
        <v>48</v>
      </c>
      <c r="G3" s="151" t="s">
        <v>47</v>
      </c>
      <c r="H3" s="153" t="s">
        <v>147</v>
      </c>
      <c r="I3" s="153" t="s">
        <v>148</v>
      </c>
      <c r="J3" s="153" t="s">
        <v>149</v>
      </c>
      <c r="K3" s="153" t="s">
        <v>150</v>
      </c>
      <c r="L3" s="153" t="s">
        <v>151</v>
      </c>
      <c r="M3" s="153" t="s">
        <v>152</v>
      </c>
      <c r="N3" s="153" t="s">
        <v>153</v>
      </c>
      <c r="O3" s="153" t="s">
        <v>154</v>
      </c>
      <c r="P3" s="153" t="s">
        <v>155</v>
      </c>
      <c r="Q3" s="153" t="s">
        <v>156</v>
      </c>
      <c r="R3" s="153" t="s">
        <v>157</v>
      </c>
      <c r="S3" s="153" t="s">
        <v>158</v>
      </c>
    </row>
    <row r="4" spans="2:19" s="86" customFormat="1">
      <c r="B4" s="87" t="s">
        <v>33</v>
      </c>
      <c r="C4" s="88" t="s">
        <v>6</v>
      </c>
      <c r="D4" s="88" t="s">
        <v>6</v>
      </c>
      <c r="E4" s="6">
        <v>28</v>
      </c>
      <c r="F4" s="6" t="s">
        <v>53</v>
      </c>
      <c r="G4" s="88" t="s">
        <v>27</v>
      </c>
      <c r="H4" s="89">
        <v>5000</v>
      </c>
      <c r="I4" s="89">
        <f>H4</f>
        <v>5000</v>
      </c>
      <c r="J4" s="89">
        <f>I4</f>
        <v>5000</v>
      </c>
      <c r="K4" s="89">
        <f t="shared" ref="K4:M5" si="0">J4</f>
        <v>5000</v>
      </c>
      <c r="L4" s="89">
        <f t="shared" si="0"/>
        <v>5000</v>
      </c>
      <c r="M4" s="89">
        <f t="shared" si="0"/>
        <v>5000</v>
      </c>
      <c r="N4" s="89">
        <f t="shared" ref="N4:S5" si="1">M4</f>
        <v>5000</v>
      </c>
      <c r="O4" s="89">
        <f t="shared" si="1"/>
        <v>5000</v>
      </c>
      <c r="P4" s="89">
        <f t="shared" si="1"/>
        <v>5000</v>
      </c>
      <c r="Q4" s="89">
        <f t="shared" si="1"/>
        <v>5000</v>
      </c>
      <c r="R4" s="89">
        <f t="shared" si="1"/>
        <v>5000</v>
      </c>
      <c r="S4" s="89">
        <f t="shared" si="1"/>
        <v>5000</v>
      </c>
    </row>
    <row r="5" spans="2:19" s="86" customFormat="1">
      <c r="B5" s="87" t="s">
        <v>57</v>
      </c>
      <c r="C5" s="88" t="s">
        <v>6</v>
      </c>
      <c r="D5" s="88" t="s">
        <v>6</v>
      </c>
      <c r="E5" s="6">
        <v>25</v>
      </c>
      <c r="F5" s="6" t="s">
        <v>52</v>
      </c>
      <c r="G5" s="88" t="s">
        <v>27</v>
      </c>
      <c r="H5" s="89">
        <v>8000</v>
      </c>
      <c r="I5" s="89">
        <f>H5</f>
        <v>8000</v>
      </c>
      <c r="J5" s="89">
        <f t="shared" ref="J5" si="2">I5</f>
        <v>8000</v>
      </c>
      <c r="K5" s="89">
        <f t="shared" si="0"/>
        <v>8000</v>
      </c>
      <c r="L5" s="89">
        <f t="shared" si="0"/>
        <v>8000</v>
      </c>
      <c r="M5" s="89">
        <f t="shared" si="0"/>
        <v>8000</v>
      </c>
      <c r="N5" s="89">
        <f t="shared" si="1"/>
        <v>8000</v>
      </c>
      <c r="O5" s="89">
        <f t="shared" si="1"/>
        <v>8000</v>
      </c>
      <c r="P5" s="89">
        <f t="shared" si="1"/>
        <v>8000</v>
      </c>
      <c r="Q5" s="89">
        <f t="shared" si="1"/>
        <v>8000</v>
      </c>
      <c r="R5" s="89">
        <f t="shared" si="1"/>
        <v>8000</v>
      </c>
      <c r="S5" s="89">
        <f t="shared" si="1"/>
        <v>8000</v>
      </c>
    </row>
    <row r="6" spans="2:19" s="86" customFormat="1">
      <c r="B6" s="87" t="s">
        <v>74</v>
      </c>
      <c r="C6" s="88" t="s">
        <v>6</v>
      </c>
      <c r="D6" s="88" t="s">
        <v>6</v>
      </c>
      <c r="E6" s="6">
        <v>28</v>
      </c>
      <c r="F6" s="6" t="s">
        <v>52</v>
      </c>
      <c r="G6" s="88" t="s">
        <v>27</v>
      </c>
      <c r="H6" s="7"/>
      <c r="I6" s="7"/>
      <c r="J6" s="89">
        <v>2000</v>
      </c>
      <c r="K6" s="7"/>
      <c r="L6" s="89"/>
      <c r="M6" s="89">
        <f>J6</f>
        <v>2000</v>
      </c>
      <c r="N6" s="7"/>
      <c r="O6" s="89"/>
      <c r="P6" s="89">
        <f>M6</f>
        <v>2000</v>
      </c>
      <c r="Q6" s="7"/>
      <c r="R6" s="89"/>
      <c r="S6" s="89"/>
    </row>
    <row r="7" spans="2:19" s="86" customFormat="1">
      <c r="B7" s="87" t="s">
        <v>75</v>
      </c>
      <c r="C7" s="88" t="s">
        <v>6</v>
      </c>
      <c r="D7" s="88" t="s">
        <v>6</v>
      </c>
      <c r="E7" s="6">
        <v>1</v>
      </c>
      <c r="F7" s="6" t="s">
        <v>53</v>
      </c>
      <c r="G7" s="88" t="s">
        <v>27</v>
      </c>
      <c r="H7" s="89">
        <v>2000</v>
      </c>
      <c r="I7" s="7"/>
      <c r="J7" s="90"/>
      <c r="K7" s="89">
        <f>H7</f>
        <v>2000</v>
      </c>
      <c r="L7" s="89"/>
      <c r="M7" s="90"/>
      <c r="N7" s="89">
        <f>K7</f>
        <v>2000</v>
      </c>
      <c r="O7" s="89"/>
      <c r="P7" s="90"/>
      <c r="Q7" s="89">
        <f>N7</f>
        <v>2000</v>
      </c>
      <c r="R7" s="89"/>
      <c r="S7" s="89"/>
    </row>
    <row r="8" spans="2:19" s="86" customFormat="1" ht="14.25" customHeight="1">
      <c r="B8" s="87" t="s">
        <v>76</v>
      </c>
      <c r="C8" s="88" t="s">
        <v>6</v>
      </c>
      <c r="D8" s="88" t="s">
        <v>6</v>
      </c>
      <c r="E8" s="6">
        <v>28</v>
      </c>
      <c r="F8" s="6" t="s">
        <v>52</v>
      </c>
      <c r="G8" s="88" t="s">
        <v>27</v>
      </c>
      <c r="H8" s="89"/>
      <c r="I8" s="89"/>
      <c r="J8" s="89">
        <v>1000</v>
      </c>
      <c r="K8" s="89"/>
      <c r="L8" s="89"/>
      <c r="M8" s="89">
        <f>J8</f>
        <v>1000</v>
      </c>
      <c r="N8" s="89"/>
      <c r="O8" s="89"/>
      <c r="P8" s="89">
        <f>M8</f>
        <v>1000</v>
      </c>
      <c r="Q8" s="89"/>
      <c r="R8" s="89"/>
      <c r="S8" s="89"/>
    </row>
    <row r="9" spans="2:19" s="86" customFormat="1" ht="14.25" customHeight="1">
      <c r="B9" s="87" t="s">
        <v>77</v>
      </c>
      <c r="C9" s="88" t="s">
        <v>6</v>
      </c>
      <c r="D9" s="88" t="s">
        <v>6</v>
      </c>
      <c r="E9" s="6">
        <v>1</v>
      </c>
      <c r="F9" s="6" t="s">
        <v>53</v>
      </c>
      <c r="G9" s="88" t="s">
        <v>27</v>
      </c>
      <c r="H9" s="89">
        <v>1000</v>
      </c>
      <c r="I9" s="89"/>
      <c r="J9" s="89"/>
      <c r="K9" s="89">
        <f>H9</f>
        <v>1000</v>
      </c>
      <c r="L9" s="89"/>
      <c r="M9" s="89"/>
      <c r="N9" s="89">
        <f>K9</f>
        <v>1000</v>
      </c>
      <c r="O9" s="89"/>
      <c r="P9" s="89"/>
      <c r="Q9" s="89">
        <f>N9</f>
        <v>1000</v>
      </c>
      <c r="R9" s="89"/>
      <c r="S9" s="89"/>
    </row>
    <row r="10" spans="2:19" s="86" customFormat="1">
      <c r="B10" s="136" t="s">
        <v>110</v>
      </c>
      <c r="C10" s="88" t="s">
        <v>21</v>
      </c>
      <c r="D10" s="88" t="s">
        <v>21</v>
      </c>
      <c r="E10" s="6">
        <v>28</v>
      </c>
      <c r="F10" s="8" t="s">
        <v>23</v>
      </c>
      <c r="G10" s="88" t="s">
        <v>27</v>
      </c>
      <c r="H10" s="89">
        <v>10000</v>
      </c>
      <c r="I10" s="89">
        <v>10000</v>
      </c>
      <c r="J10" s="89">
        <v>10000</v>
      </c>
      <c r="K10" s="89">
        <v>10000</v>
      </c>
      <c r="L10" s="89">
        <v>10000</v>
      </c>
      <c r="M10" s="89">
        <v>10000</v>
      </c>
      <c r="N10" s="89">
        <v>10000</v>
      </c>
      <c r="O10" s="89"/>
      <c r="P10" s="89"/>
      <c r="Q10" s="89"/>
      <c r="R10" s="89"/>
      <c r="S10" s="89"/>
    </row>
    <row r="11" spans="2:19" s="86" customFormat="1" ht="14.25" customHeight="1">
      <c r="B11" s="136" t="s">
        <v>111</v>
      </c>
      <c r="C11" s="88" t="s">
        <v>21</v>
      </c>
      <c r="D11" s="88" t="s">
        <v>21</v>
      </c>
      <c r="E11" s="6">
        <v>28</v>
      </c>
      <c r="F11" s="6" t="s">
        <v>23</v>
      </c>
      <c r="G11" s="88" t="s">
        <v>28</v>
      </c>
      <c r="H11" s="89">
        <v>2000</v>
      </c>
      <c r="I11" s="89">
        <v>2000</v>
      </c>
      <c r="J11" s="89">
        <v>2000</v>
      </c>
      <c r="K11" s="89">
        <v>2000</v>
      </c>
      <c r="L11" s="89">
        <v>2000</v>
      </c>
      <c r="M11" s="89">
        <v>2000</v>
      </c>
      <c r="N11" s="89">
        <v>2000</v>
      </c>
      <c r="O11" s="89"/>
      <c r="P11" s="89"/>
      <c r="Q11" s="89"/>
      <c r="R11" s="89"/>
      <c r="S11" s="89"/>
    </row>
    <row r="12" spans="2:19" s="86" customFormat="1">
      <c r="B12" s="136" t="s">
        <v>112</v>
      </c>
      <c r="C12" s="88" t="s">
        <v>21</v>
      </c>
      <c r="D12" s="88" t="s">
        <v>21</v>
      </c>
      <c r="E12" s="6">
        <v>28</v>
      </c>
      <c r="F12" s="6" t="s">
        <v>23</v>
      </c>
      <c r="G12" s="88" t="s">
        <v>27</v>
      </c>
      <c r="H12" s="89"/>
      <c r="I12" s="89"/>
      <c r="J12" s="89"/>
      <c r="K12" s="89">
        <v>20000</v>
      </c>
      <c r="L12" s="89"/>
      <c r="M12" s="89"/>
      <c r="N12" s="89"/>
      <c r="O12" s="89"/>
      <c r="P12" s="89"/>
      <c r="Q12" s="89"/>
      <c r="R12" s="89"/>
      <c r="S12" s="89"/>
    </row>
    <row r="13" spans="2:19" s="86" customFormat="1" ht="14.25" customHeight="1">
      <c r="B13" s="136" t="s">
        <v>113</v>
      </c>
      <c r="C13" s="88" t="s">
        <v>21</v>
      </c>
      <c r="D13" s="88" t="s">
        <v>21</v>
      </c>
      <c r="E13" s="6">
        <v>28</v>
      </c>
      <c r="F13" s="6" t="s">
        <v>23</v>
      </c>
      <c r="G13" s="88" t="s">
        <v>27</v>
      </c>
      <c r="H13" s="89"/>
      <c r="I13" s="89"/>
      <c r="J13" s="89">
        <v>50000</v>
      </c>
      <c r="K13" s="89">
        <v>50000</v>
      </c>
      <c r="L13" s="89"/>
      <c r="M13" s="89"/>
      <c r="N13" s="89"/>
      <c r="O13" s="89"/>
      <c r="P13" s="89"/>
      <c r="Q13" s="89"/>
      <c r="R13" s="89"/>
      <c r="S13" s="89"/>
    </row>
    <row r="14" spans="2:19" s="86" customFormat="1" ht="14.25" customHeight="1">
      <c r="B14" s="136" t="s">
        <v>114</v>
      </c>
      <c r="C14" s="88" t="s">
        <v>2</v>
      </c>
      <c r="D14" s="88" t="s">
        <v>2</v>
      </c>
      <c r="E14" s="6">
        <v>28</v>
      </c>
      <c r="F14" s="6" t="s">
        <v>23</v>
      </c>
      <c r="G14" s="88" t="s">
        <v>27</v>
      </c>
      <c r="H14" s="89">
        <v>5000</v>
      </c>
      <c r="I14" s="89">
        <f>H14</f>
        <v>5000</v>
      </c>
      <c r="J14" s="89">
        <f t="shared" ref="J14:S14" si="3">I14</f>
        <v>5000</v>
      </c>
      <c r="K14" s="89">
        <f t="shared" si="3"/>
        <v>5000</v>
      </c>
      <c r="L14" s="89">
        <f t="shared" si="3"/>
        <v>5000</v>
      </c>
      <c r="M14" s="89">
        <f t="shared" si="3"/>
        <v>5000</v>
      </c>
      <c r="N14" s="89">
        <f t="shared" si="3"/>
        <v>5000</v>
      </c>
      <c r="O14" s="89">
        <f t="shared" si="3"/>
        <v>5000</v>
      </c>
      <c r="P14" s="89">
        <f t="shared" si="3"/>
        <v>5000</v>
      </c>
      <c r="Q14" s="89">
        <f t="shared" si="3"/>
        <v>5000</v>
      </c>
      <c r="R14" s="89">
        <f t="shared" si="3"/>
        <v>5000</v>
      </c>
      <c r="S14" s="89">
        <f t="shared" si="3"/>
        <v>5000</v>
      </c>
    </row>
    <row r="15" spans="2:19" s="86" customFormat="1" ht="14.25" customHeight="1">
      <c r="B15" s="136" t="s">
        <v>115</v>
      </c>
      <c r="C15" s="88" t="s">
        <v>2</v>
      </c>
      <c r="D15" s="88" t="s">
        <v>2</v>
      </c>
      <c r="E15" s="6">
        <v>28</v>
      </c>
      <c r="F15" s="6" t="s">
        <v>23</v>
      </c>
      <c r="G15" s="88" t="s">
        <v>27</v>
      </c>
      <c r="H15" s="89"/>
      <c r="I15" s="89"/>
      <c r="J15" s="89">
        <v>3000</v>
      </c>
      <c r="K15" s="89"/>
      <c r="L15" s="89"/>
      <c r="M15" s="89"/>
      <c r="N15" s="89"/>
      <c r="O15" s="89"/>
      <c r="P15" s="89"/>
      <c r="Q15" s="89"/>
      <c r="R15" s="89"/>
      <c r="S15" s="89"/>
    </row>
    <row r="16" spans="2:19" s="86" customFormat="1" ht="14.25" customHeight="1">
      <c r="B16" s="136" t="s">
        <v>116</v>
      </c>
      <c r="C16" s="88" t="s">
        <v>2</v>
      </c>
      <c r="D16" s="88" t="s">
        <v>2</v>
      </c>
      <c r="E16" s="6">
        <v>28</v>
      </c>
      <c r="F16" s="6" t="s">
        <v>23</v>
      </c>
      <c r="G16" s="164" t="s">
        <v>28</v>
      </c>
      <c r="H16" s="89">
        <v>1000</v>
      </c>
      <c r="I16" s="89"/>
      <c r="J16" s="89">
        <v>3000</v>
      </c>
      <c r="K16" s="89">
        <v>3000</v>
      </c>
      <c r="L16" s="89">
        <v>3000</v>
      </c>
      <c r="M16" s="89">
        <v>3000</v>
      </c>
      <c r="N16" s="89">
        <v>3000</v>
      </c>
      <c r="O16" s="89">
        <v>3000</v>
      </c>
      <c r="P16" s="89">
        <v>3000</v>
      </c>
      <c r="Q16" s="89">
        <v>3000</v>
      </c>
      <c r="R16" s="89">
        <v>3000</v>
      </c>
      <c r="S16" s="89">
        <v>3000</v>
      </c>
    </row>
    <row r="17" spans="2:19" s="86" customFormat="1" ht="14.25" customHeight="1">
      <c r="B17" s="9" t="s">
        <v>117</v>
      </c>
      <c r="C17" s="88" t="s">
        <v>62</v>
      </c>
      <c r="D17" s="88" t="s">
        <v>69</v>
      </c>
      <c r="E17" s="6">
        <v>15</v>
      </c>
      <c r="F17" s="6" t="s">
        <v>23</v>
      </c>
      <c r="G17" s="88" t="s">
        <v>0</v>
      </c>
      <c r="H17" s="89"/>
      <c r="I17" s="89">
        <v>5400</v>
      </c>
      <c r="J17" s="89"/>
      <c r="K17" s="89"/>
      <c r="L17" s="89"/>
      <c r="M17" s="89"/>
      <c r="N17" s="89">
        <v>900</v>
      </c>
      <c r="O17" s="89">
        <f>N17</f>
        <v>900</v>
      </c>
      <c r="P17" s="89">
        <f t="shared" ref="P17:S18" si="4">O17</f>
        <v>900</v>
      </c>
      <c r="Q17" s="89">
        <f t="shared" si="4"/>
        <v>900</v>
      </c>
      <c r="R17" s="89">
        <f t="shared" si="4"/>
        <v>900</v>
      </c>
      <c r="S17" s="89">
        <f t="shared" si="4"/>
        <v>900</v>
      </c>
    </row>
    <row r="18" spans="2:19" s="86" customFormat="1" ht="15" customHeight="1">
      <c r="B18" s="136" t="s">
        <v>68</v>
      </c>
      <c r="C18" s="88" t="s">
        <v>62</v>
      </c>
      <c r="D18" s="88" t="s">
        <v>68</v>
      </c>
      <c r="E18" s="6">
        <v>10</v>
      </c>
      <c r="F18" s="6" t="s">
        <v>23</v>
      </c>
      <c r="G18" s="88" t="s">
        <v>27</v>
      </c>
      <c r="H18" s="89">
        <v>100000</v>
      </c>
      <c r="I18" s="89">
        <f>H18</f>
        <v>100000</v>
      </c>
      <c r="J18" s="89">
        <f t="shared" ref="J18:O18" si="5">I18</f>
        <v>100000</v>
      </c>
      <c r="K18" s="89">
        <f t="shared" si="5"/>
        <v>100000</v>
      </c>
      <c r="L18" s="89">
        <f t="shared" si="5"/>
        <v>100000</v>
      </c>
      <c r="M18" s="89">
        <f t="shared" si="5"/>
        <v>100000</v>
      </c>
      <c r="N18" s="89">
        <f t="shared" si="5"/>
        <v>100000</v>
      </c>
      <c r="O18" s="89">
        <f t="shared" si="5"/>
        <v>100000</v>
      </c>
      <c r="P18" s="89">
        <f t="shared" si="4"/>
        <v>100000</v>
      </c>
      <c r="Q18" s="89">
        <f t="shared" si="4"/>
        <v>100000</v>
      </c>
      <c r="R18" s="89">
        <f t="shared" si="4"/>
        <v>100000</v>
      </c>
      <c r="S18" s="89">
        <f t="shared" si="4"/>
        <v>100000</v>
      </c>
    </row>
    <row r="19" spans="2:19" s="86" customFormat="1" ht="14.25" customHeight="1">
      <c r="B19" s="87" t="s">
        <v>31</v>
      </c>
      <c r="C19" s="88" t="s">
        <v>62</v>
      </c>
      <c r="D19" s="88" t="s">
        <v>68</v>
      </c>
      <c r="E19" s="6">
        <v>19</v>
      </c>
      <c r="F19" s="6" t="s">
        <v>23</v>
      </c>
      <c r="G19" s="88" t="s">
        <v>27</v>
      </c>
      <c r="H19" s="89">
        <v>20000</v>
      </c>
      <c r="I19" s="89">
        <f t="shared" ref="I19:S22" si="6">H19</f>
        <v>20000</v>
      </c>
      <c r="J19" s="89">
        <f t="shared" si="6"/>
        <v>20000</v>
      </c>
      <c r="K19" s="89">
        <f t="shared" si="6"/>
        <v>20000</v>
      </c>
      <c r="L19" s="89">
        <f t="shared" si="6"/>
        <v>20000</v>
      </c>
      <c r="M19" s="89">
        <f t="shared" si="6"/>
        <v>20000</v>
      </c>
      <c r="N19" s="89">
        <f t="shared" si="6"/>
        <v>20000</v>
      </c>
      <c r="O19" s="89">
        <f t="shared" si="6"/>
        <v>20000</v>
      </c>
      <c r="P19" s="89">
        <f t="shared" si="6"/>
        <v>20000</v>
      </c>
      <c r="Q19" s="89">
        <f t="shared" si="6"/>
        <v>20000</v>
      </c>
      <c r="R19" s="89">
        <f t="shared" si="6"/>
        <v>20000</v>
      </c>
      <c r="S19" s="89">
        <f t="shared" si="6"/>
        <v>20000</v>
      </c>
    </row>
    <row r="20" spans="2:19" s="86" customFormat="1" ht="15" customHeight="1">
      <c r="B20" s="87" t="s">
        <v>22</v>
      </c>
      <c r="C20" s="88" t="s">
        <v>62</v>
      </c>
      <c r="D20" s="88" t="s">
        <v>68</v>
      </c>
      <c r="E20" s="6">
        <v>19</v>
      </c>
      <c r="F20" s="6" t="s">
        <v>23</v>
      </c>
      <c r="G20" s="88" t="s">
        <v>27</v>
      </c>
      <c r="H20" s="89">
        <v>20000</v>
      </c>
      <c r="I20" s="89">
        <f t="shared" si="6"/>
        <v>20000</v>
      </c>
      <c r="J20" s="89">
        <f t="shared" si="6"/>
        <v>20000</v>
      </c>
      <c r="K20" s="89">
        <f t="shared" si="6"/>
        <v>20000</v>
      </c>
      <c r="L20" s="89">
        <f t="shared" si="6"/>
        <v>20000</v>
      </c>
      <c r="M20" s="89">
        <f t="shared" si="6"/>
        <v>20000</v>
      </c>
      <c r="N20" s="89">
        <f t="shared" si="6"/>
        <v>20000</v>
      </c>
      <c r="O20" s="89">
        <f t="shared" si="6"/>
        <v>20000</v>
      </c>
      <c r="P20" s="89">
        <f t="shared" si="6"/>
        <v>20000</v>
      </c>
      <c r="Q20" s="89">
        <f t="shared" si="6"/>
        <v>20000</v>
      </c>
      <c r="R20" s="89">
        <f t="shared" si="6"/>
        <v>20000</v>
      </c>
      <c r="S20" s="89">
        <f t="shared" si="6"/>
        <v>20000</v>
      </c>
    </row>
    <row r="21" spans="2:19" s="10" customFormat="1" ht="15" customHeight="1">
      <c r="B21" s="87" t="s">
        <v>56</v>
      </c>
      <c r="C21" s="88" t="s">
        <v>62</v>
      </c>
      <c r="D21" s="88" t="s">
        <v>68</v>
      </c>
      <c r="E21" s="6">
        <v>19</v>
      </c>
      <c r="F21" s="6" t="s">
        <v>23</v>
      </c>
      <c r="G21" s="88" t="s">
        <v>27</v>
      </c>
      <c r="H21" s="89">
        <v>30000</v>
      </c>
      <c r="I21" s="89">
        <f t="shared" si="6"/>
        <v>30000</v>
      </c>
      <c r="J21" s="89">
        <f t="shared" si="6"/>
        <v>30000</v>
      </c>
      <c r="K21" s="89">
        <f t="shared" si="6"/>
        <v>30000</v>
      </c>
      <c r="L21" s="89">
        <f t="shared" si="6"/>
        <v>30000</v>
      </c>
      <c r="M21" s="89">
        <f t="shared" si="6"/>
        <v>30000</v>
      </c>
      <c r="N21" s="89">
        <f t="shared" si="6"/>
        <v>30000</v>
      </c>
      <c r="O21" s="89">
        <f t="shared" si="6"/>
        <v>30000</v>
      </c>
      <c r="P21" s="89">
        <f t="shared" si="6"/>
        <v>30000</v>
      </c>
      <c r="Q21" s="89">
        <f t="shared" si="6"/>
        <v>30000</v>
      </c>
      <c r="R21" s="89">
        <f t="shared" si="6"/>
        <v>30000</v>
      </c>
      <c r="S21" s="89">
        <f t="shared" si="6"/>
        <v>30000</v>
      </c>
    </row>
    <row r="22" spans="2:19" s="10" customFormat="1" ht="15" customHeight="1">
      <c r="B22" s="87" t="s">
        <v>96</v>
      </c>
      <c r="C22" s="88" t="s">
        <v>1</v>
      </c>
      <c r="D22" s="88" t="s">
        <v>1</v>
      </c>
      <c r="E22" s="6">
        <v>19</v>
      </c>
      <c r="F22" s="6" t="s">
        <v>23</v>
      </c>
      <c r="G22" s="88" t="s">
        <v>27</v>
      </c>
      <c r="H22" s="89">
        <v>10000</v>
      </c>
      <c r="I22" s="89">
        <f t="shared" si="6"/>
        <v>10000</v>
      </c>
      <c r="J22" s="89">
        <f t="shared" si="6"/>
        <v>10000</v>
      </c>
      <c r="K22" s="89">
        <f t="shared" si="6"/>
        <v>10000</v>
      </c>
      <c r="L22" s="89">
        <f t="shared" si="6"/>
        <v>10000</v>
      </c>
      <c r="M22" s="89">
        <f t="shared" si="6"/>
        <v>10000</v>
      </c>
      <c r="N22" s="89">
        <f t="shared" si="6"/>
        <v>10000</v>
      </c>
      <c r="O22" s="89">
        <f t="shared" si="6"/>
        <v>10000</v>
      </c>
      <c r="P22" s="89">
        <f t="shared" si="6"/>
        <v>10000</v>
      </c>
      <c r="Q22" s="89">
        <f t="shared" si="6"/>
        <v>10000</v>
      </c>
      <c r="R22" s="89">
        <f t="shared" si="6"/>
        <v>10000</v>
      </c>
      <c r="S22" s="89">
        <f t="shared" si="6"/>
        <v>10000</v>
      </c>
    </row>
    <row r="23" spans="2:19" s="86" customFormat="1" ht="14.25" customHeight="1">
      <c r="B23" s="136" t="s">
        <v>118</v>
      </c>
      <c r="C23" s="88" t="s">
        <v>62</v>
      </c>
      <c r="D23" s="88" t="s">
        <v>69</v>
      </c>
      <c r="E23" s="6">
        <v>1</v>
      </c>
      <c r="F23" s="6" t="s">
        <v>34</v>
      </c>
      <c r="G23" s="88" t="s">
        <v>27</v>
      </c>
      <c r="H23" s="89">
        <v>1500</v>
      </c>
      <c r="I23" s="89">
        <v>1500</v>
      </c>
      <c r="J23" s="89">
        <f>I23</f>
        <v>1500</v>
      </c>
      <c r="K23" s="89">
        <f t="shared" ref="K23:M24" si="7">J23</f>
        <v>1500</v>
      </c>
      <c r="L23" s="89">
        <f t="shared" si="7"/>
        <v>1500</v>
      </c>
      <c r="M23" s="89">
        <f t="shared" si="7"/>
        <v>1500</v>
      </c>
      <c r="N23" s="89">
        <f t="shared" ref="N23:N24" si="8">M23</f>
        <v>1500</v>
      </c>
      <c r="O23" s="89">
        <f t="shared" ref="O23:O24" si="9">N23</f>
        <v>1500</v>
      </c>
      <c r="P23" s="89">
        <f t="shared" ref="P23:P24" si="10">O23</f>
        <v>1500</v>
      </c>
      <c r="Q23" s="89">
        <f t="shared" ref="Q23:Q24" si="11">P23</f>
        <v>1500</v>
      </c>
      <c r="R23" s="89">
        <f t="shared" ref="R23:R24" si="12">Q23</f>
        <v>1500</v>
      </c>
      <c r="S23" s="89">
        <f t="shared" ref="S23:S24" si="13">R23</f>
        <v>1500</v>
      </c>
    </row>
    <row r="24" spans="2:19" s="86" customFormat="1" ht="14.25" customHeight="1">
      <c r="B24" s="11" t="s">
        <v>119</v>
      </c>
      <c r="C24" s="88" t="s">
        <v>62</v>
      </c>
      <c r="D24" s="88" t="s">
        <v>70</v>
      </c>
      <c r="E24" s="6">
        <v>28</v>
      </c>
      <c r="F24" s="6" t="s">
        <v>34</v>
      </c>
      <c r="G24" s="88" t="s">
        <v>27</v>
      </c>
      <c r="H24" s="89">
        <v>1000</v>
      </c>
      <c r="I24" s="89">
        <f>H24</f>
        <v>1000</v>
      </c>
      <c r="J24" s="89">
        <f t="shared" ref="J24" si="14">I24</f>
        <v>1000</v>
      </c>
      <c r="K24" s="89">
        <f t="shared" si="7"/>
        <v>1000</v>
      </c>
      <c r="L24" s="89">
        <f t="shared" si="7"/>
        <v>1000</v>
      </c>
      <c r="M24" s="89">
        <f t="shared" si="7"/>
        <v>1000</v>
      </c>
      <c r="N24" s="89">
        <f t="shared" si="8"/>
        <v>1000</v>
      </c>
      <c r="O24" s="89">
        <f t="shared" si="9"/>
        <v>1000</v>
      </c>
      <c r="P24" s="89">
        <f t="shared" si="10"/>
        <v>1000</v>
      </c>
      <c r="Q24" s="89">
        <f t="shared" si="11"/>
        <v>1000</v>
      </c>
      <c r="R24" s="89">
        <f t="shared" si="12"/>
        <v>1000</v>
      </c>
      <c r="S24" s="89">
        <f t="shared" si="13"/>
        <v>1000</v>
      </c>
    </row>
    <row r="25" spans="2:19" s="10" customFormat="1" ht="15" customHeight="1">
      <c r="B25" s="136" t="s">
        <v>120</v>
      </c>
      <c r="C25" s="88" t="s">
        <v>62</v>
      </c>
      <c r="D25" s="88" t="s">
        <v>69</v>
      </c>
      <c r="E25" s="6">
        <v>15</v>
      </c>
      <c r="F25" s="6" t="s">
        <v>58</v>
      </c>
      <c r="G25" s="88" t="s">
        <v>0</v>
      </c>
      <c r="H25" s="89">
        <v>1000</v>
      </c>
      <c r="I25" s="89">
        <f t="shared" ref="I25:S43" si="15">H25</f>
        <v>1000</v>
      </c>
      <c r="J25" s="89">
        <f t="shared" si="15"/>
        <v>1000</v>
      </c>
      <c r="K25" s="89">
        <f t="shared" si="15"/>
        <v>1000</v>
      </c>
      <c r="L25" s="89">
        <f t="shared" si="15"/>
        <v>1000</v>
      </c>
      <c r="M25" s="89">
        <f t="shared" si="15"/>
        <v>1000</v>
      </c>
      <c r="N25" s="89">
        <f t="shared" si="15"/>
        <v>1000</v>
      </c>
      <c r="O25" s="89">
        <f t="shared" si="15"/>
        <v>1000</v>
      </c>
      <c r="P25" s="89">
        <f t="shared" si="15"/>
        <v>1000</v>
      </c>
      <c r="Q25" s="89">
        <f t="shared" si="15"/>
        <v>1000</v>
      </c>
      <c r="R25" s="89">
        <f t="shared" si="15"/>
        <v>1000</v>
      </c>
      <c r="S25" s="89">
        <f t="shared" si="15"/>
        <v>1000</v>
      </c>
    </row>
    <row r="26" spans="2:19" s="86" customFormat="1" ht="14.25" customHeight="1">
      <c r="B26" s="136" t="s">
        <v>121</v>
      </c>
      <c r="C26" s="88" t="s">
        <v>62</v>
      </c>
      <c r="D26" s="88" t="s">
        <v>72</v>
      </c>
      <c r="E26" s="6">
        <v>10</v>
      </c>
      <c r="F26" s="6" t="s">
        <v>58</v>
      </c>
      <c r="G26" s="88" t="s">
        <v>27</v>
      </c>
      <c r="H26" s="89">
        <v>1000</v>
      </c>
      <c r="I26" s="89">
        <f t="shared" si="15"/>
        <v>1000</v>
      </c>
      <c r="J26" s="89">
        <f t="shared" si="15"/>
        <v>1000</v>
      </c>
      <c r="K26" s="89">
        <f t="shared" si="15"/>
        <v>1000</v>
      </c>
      <c r="L26" s="89">
        <f t="shared" si="15"/>
        <v>1000</v>
      </c>
      <c r="M26" s="89">
        <f t="shared" si="15"/>
        <v>1000</v>
      </c>
      <c r="N26" s="89">
        <f t="shared" si="15"/>
        <v>1000</v>
      </c>
      <c r="O26" s="89">
        <f t="shared" si="15"/>
        <v>1000</v>
      </c>
      <c r="P26" s="89">
        <f t="shared" si="15"/>
        <v>1000</v>
      </c>
      <c r="Q26" s="89">
        <f t="shared" si="15"/>
        <v>1000</v>
      </c>
      <c r="R26" s="89">
        <f t="shared" si="15"/>
        <v>1000</v>
      </c>
      <c r="S26" s="89">
        <f t="shared" si="15"/>
        <v>1000</v>
      </c>
    </row>
    <row r="27" spans="2:19" s="86" customFormat="1" ht="14.25" customHeight="1">
      <c r="B27" s="136" t="s">
        <v>122</v>
      </c>
      <c r="C27" s="88" t="s">
        <v>62</v>
      </c>
      <c r="D27" s="88" t="s">
        <v>71</v>
      </c>
      <c r="E27" s="6">
        <v>1</v>
      </c>
      <c r="F27" s="6" t="s">
        <v>54</v>
      </c>
      <c r="G27" s="88" t="s">
        <v>27</v>
      </c>
      <c r="H27" s="89">
        <v>1000</v>
      </c>
      <c r="I27" s="89">
        <f t="shared" si="15"/>
        <v>1000</v>
      </c>
      <c r="J27" s="89">
        <f t="shared" si="15"/>
        <v>1000</v>
      </c>
      <c r="K27" s="89"/>
      <c r="L27" s="89"/>
      <c r="M27" s="89"/>
      <c r="N27" s="89">
        <f t="shared" si="15"/>
        <v>0</v>
      </c>
      <c r="O27" s="89">
        <f t="shared" si="15"/>
        <v>0</v>
      </c>
      <c r="P27" s="89">
        <f t="shared" si="15"/>
        <v>0</v>
      </c>
      <c r="Q27" s="89">
        <f t="shared" si="15"/>
        <v>0</v>
      </c>
      <c r="R27" s="89">
        <f t="shared" si="15"/>
        <v>0</v>
      </c>
      <c r="S27" s="89">
        <f t="shared" si="15"/>
        <v>0</v>
      </c>
    </row>
    <row r="28" spans="2:19" s="86" customFormat="1" ht="14.25" customHeight="1">
      <c r="B28" s="136" t="s">
        <v>123</v>
      </c>
      <c r="C28" s="88" t="s">
        <v>62</v>
      </c>
      <c r="D28" s="88" t="s">
        <v>70</v>
      </c>
      <c r="E28" s="6">
        <v>15</v>
      </c>
      <c r="F28" s="6" t="s">
        <v>58</v>
      </c>
      <c r="G28" s="88" t="s">
        <v>27</v>
      </c>
      <c r="H28" s="89">
        <v>1000</v>
      </c>
      <c r="I28" s="89">
        <f t="shared" si="15"/>
        <v>1000</v>
      </c>
      <c r="J28" s="89">
        <f t="shared" si="15"/>
        <v>1000</v>
      </c>
      <c r="K28" s="89"/>
      <c r="L28" s="89"/>
      <c r="M28" s="89"/>
      <c r="N28" s="89">
        <f t="shared" si="15"/>
        <v>0</v>
      </c>
      <c r="O28" s="89">
        <f t="shared" si="15"/>
        <v>0</v>
      </c>
      <c r="P28" s="89">
        <f t="shared" si="15"/>
        <v>0</v>
      </c>
      <c r="Q28" s="89">
        <f t="shared" si="15"/>
        <v>0</v>
      </c>
      <c r="R28" s="89">
        <f t="shared" si="15"/>
        <v>0</v>
      </c>
      <c r="S28" s="89">
        <f t="shared" si="15"/>
        <v>0</v>
      </c>
    </row>
    <row r="29" spans="2:19" s="86" customFormat="1" ht="14.25" customHeight="1">
      <c r="B29" s="136" t="s">
        <v>124</v>
      </c>
      <c r="C29" s="88" t="s">
        <v>62</v>
      </c>
      <c r="D29" s="88" t="s">
        <v>71</v>
      </c>
      <c r="E29" s="6">
        <v>25</v>
      </c>
      <c r="F29" s="6" t="s">
        <v>54</v>
      </c>
      <c r="G29" s="88" t="s">
        <v>27</v>
      </c>
      <c r="H29" s="89">
        <v>1000</v>
      </c>
      <c r="I29" s="89">
        <f t="shared" si="15"/>
        <v>1000</v>
      </c>
      <c r="J29" s="89">
        <f t="shared" si="15"/>
        <v>1000</v>
      </c>
      <c r="K29" s="89"/>
      <c r="L29" s="89"/>
      <c r="M29" s="89"/>
      <c r="N29" s="89">
        <f t="shared" si="15"/>
        <v>0</v>
      </c>
      <c r="O29" s="89">
        <f t="shared" si="15"/>
        <v>0</v>
      </c>
      <c r="P29" s="89">
        <f t="shared" si="15"/>
        <v>0</v>
      </c>
      <c r="Q29" s="89">
        <f t="shared" si="15"/>
        <v>0</v>
      </c>
      <c r="R29" s="89">
        <f t="shared" si="15"/>
        <v>0</v>
      </c>
      <c r="S29" s="89">
        <f t="shared" si="15"/>
        <v>0</v>
      </c>
    </row>
    <row r="30" spans="2:19" s="86" customFormat="1" ht="14.25" customHeight="1">
      <c r="B30" s="9" t="s">
        <v>125</v>
      </c>
      <c r="C30" s="88" t="s">
        <v>62</v>
      </c>
      <c r="D30" s="88" t="s">
        <v>69</v>
      </c>
      <c r="E30" s="6">
        <v>10</v>
      </c>
      <c r="F30" s="6" t="s">
        <v>55</v>
      </c>
      <c r="G30" s="88" t="s">
        <v>27</v>
      </c>
      <c r="H30" s="89">
        <v>1000</v>
      </c>
      <c r="I30" s="89">
        <f t="shared" si="15"/>
        <v>1000</v>
      </c>
      <c r="J30" s="89">
        <f t="shared" si="15"/>
        <v>1000</v>
      </c>
      <c r="K30" s="89"/>
      <c r="L30" s="89"/>
      <c r="M30" s="89"/>
      <c r="N30" s="89">
        <f t="shared" si="15"/>
        <v>0</v>
      </c>
      <c r="O30" s="89">
        <f t="shared" si="15"/>
        <v>0</v>
      </c>
      <c r="P30" s="89">
        <f t="shared" si="15"/>
        <v>0</v>
      </c>
      <c r="Q30" s="89">
        <f t="shared" si="15"/>
        <v>0</v>
      </c>
      <c r="R30" s="89">
        <f t="shared" si="15"/>
        <v>0</v>
      </c>
      <c r="S30" s="89">
        <f t="shared" si="15"/>
        <v>0</v>
      </c>
    </row>
    <row r="31" spans="2:19" s="86" customFormat="1" ht="14.25" customHeight="1">
      <c r="B31" s="9" t="s">
        <v>128</v>
      </c>
      <c r="C31" s="88" t="s">
        <v>62</v>
      </c>
      <c r="D31" s="88" t="s">
        <v>69</v>
      </c>
      <c r="E31" s="6">
        <v>15</v>
      </c>
      <c r="F31" s="6" t="s">
        <v>58</v>
      </c>
      <c r="G31" s="88" t="s">
        <v>27</v>
      </c>
      <c r="H31" s="89">
        <v>1000</v>
      </c>
      <c r="I31" s="89">
        <f t="shared" si="15"/>
        <v>1000</v>
      </c>
      <c r="J31" s="89">
        <f t="shared" si="15"/>
        <v>1000</v>
      </c>
      <c r="K31" s="89"/>
      <c r="L31" s="89"/>
      <c r="M31" s="89"/>
      <c r="N31" s="89">
        <f t="shared" si="15"/>
        <v>0</v>
      </c>
      <c r="O31" s="89">
        <f t="shared" si="15"/>
        <v>0</v>
      </c>
      <c r="P31" s="89">
        <f t="shared" si="15"/>
        <v>0</v>
      </c>
      <c r="Q31" s="89">
        <f t="shared" si="15"/>
        <v>0</v>
      </c>
      <c r="R31" s="89">
        <f t="shared" si="15"/>
        <v>0</v>
      </c>
      <c r="S31" s="89">
        <f t="shared" si="15"/>
        <v>0</v>
      </c>
    </row>
    <row r="32" spans="2:19" s="86" customFormat="1" ht="14.25" customHeight="1">
      <c r="B32" s="9" t="s">
        <v>130</v>
      </c>
      <c r="C32" s="88" t="s">
        <v>62</v>
      </c>
      <c r="D32" s="88" t="s">
        <v>72</v>
      </c>
      <c r="E32" s="6">
        <v>15</v>
      </c>
      <c r="F32" s="6" t="s">
        <v>58</v>
      </c>
      <c r="G32" s="88" t="s">
        <v>27</v>
      </c>
      <c r="H32" s="89">
        <v>1000</v>
      </c>
      <c r="I32" s="89">
        <f t="shared" si="15"/>
        <v>1000</v>
      </c>
      <c r="J32" s="89">
        <f t="shared" si="15"/>
        <v>1000</v>
      </c>
      <c r="K32" s="89"/>
      <c r="L32" s="89"/>
      <c r="M32" s="89"/>
      <c r="N32" s="89">
        <f t="shared" si="15"/>
        <v>0</v>
      </c>
      <c r="O32" s="89">
        <f t="shared" si="15"/>
        <v>0</v>
      </c>
      <c r="P32" s="89">
        <f t="shared" si="15"/>
        <v>0</v>
      </c>
      <c r="Q32" s="89">
        <f t="shared" si="15"/>
        <v>0</v>
      </c>
      <c r="R32" s="89">
        <f t="shared" si="15"/>
        <v>0</v>
      </c>
      <c r="S32" s="89">
        <f t="shared" si="15"/>
        <v>0</v>
      </c>
    </row>
    <row r="33" spans="2:19" s="86" customFormat="1" ht="14.25" customHeight="1">
      <c r="B33" s="9" t="s">
        <v>129</v>
      </c>
      <c r="C33" s="88" t="s">
        <v>62</v>
      </c>
      <c r="D33" s="88" t="s">
        <v>72</v>
      </c>
      <c r="E33" s="6">
        <v>15</v>
      </c>
      <c r="F33" s="6" t="s">
        <v>58</v>
      </c>
      <c r="G33" s="88" t="s">
        <v>27</v>
      </c>
      <c r="H33" s="89">
        <v>1000</v>
      </c>
      <c r="I33" s="89">
        <f t="shared" si="15"/>
        <v>1000</v>
      </c>
      <c r="J33" s="89">
        <f t="shared" si="15"/>
        <v>1000</v>
      </c>
      <c r="K33" s="89"/>
      <c r="L33" s="89"/>
      <c r="M33" s="89"/>
      <c r="N33" s="89">
        <f t="shared" si="15"/>
        <v>0</v>
      </c>
      <c r="O33" s="89">
        <f t="shared" si="15"/>
        <v>0</v>
      </c>
      <c r="P33" s="89">
        <f t="shared" si="15"/>
        <v>0</v>
      </c>
      <c r="Q33" s="89">
        <f t="shared" si="15"/>
        <v>0</v>
      </c>
      <c r="R33" s="89">
        <f t="shared" si="15"/>
        <v>0</v>
      </c>
      <c r="S33" s="89">
        <f t="shared" si="15"/>
        <v>0</v>
      </c>
    </row>
    <row r="34" spans="2:19" s="10" customFormat="1" ht="15" customHeight="1">
      <c r="B34" s="9" t="s">
        <v>131</v>
      </c>
      <c r="C34" s="88" t="s">
        <v>62</v>
      </c>
      <c r="D34" s="88" t="s">
        <v>72</v>
      </c>
      <c r="E34" s="6">
        <v>15</v>
      </c>
      <c r="F34" s="6" t="s">
        <v>58</v>
      </c>
      <c r="G34" s="88" t="s">
        <v>27</v>
      </c>
      <c r="H34" s="89">
        <v>1000</v>
      </c>
      <c r="I34" s="89">
        <f t="shared" si="15"/>
        <v>1000</v>
      </c>
      <c r="J34" s="89">
        <f t="shared" si="15"/>
        <v>1000</v>
      </c>
      <c r="K34" s="89"/>
      <c r="L34" s="89"/>
      <c r="M34" s="89"/>
      <c r="N34" s="89">
        <f t="shared" si="15"/>
        <v>0</v>
      </c>
      <c r="O34" s="89">
        <f t="shared" si="15"/>
        <v>0</v>
      </c>
      <c r="P34" s="89">
        <f t="shared" si="15"/>
        <v>0</v>
      </c>
      <c r="Q34" s="89">
        <f t="shared" si="15"/>
        <v>0</v>
      </c>
      <c r="R34" s="89">
        <f t="shared" si="15"/>
        <v>0</v>
      </c>
      <c r="S34" s="89">
        <f t="shared" si="15"/>
        <v>0</v>
      </c>
    </row>
    <row r="35" spans="2:19" s="10" customFormat="1" ht="15" customHeight="1">
      <c r="B35" s="9" t="s">
        <v>132</v>
      </c>
      <c r="C35" s="88" t="s">
        <v>62</v>
      </c>
      <c r="D35" s="88" t="s">
        <v>69</v>
      </c>
      <c r="E35" s="6">
        <v>15</v>
      </c>
      <c r="F35" s="6" t="s">
        <v>58</v>
      </c>
      <c r="G35" s="88" t="s">
        <v>27</v>
      </c>
      <c r="H35" s="89">
        <v>1000</v>
      </c>
      <c r="I35" s="89">
        <f t="shared" si="15"/>
        <v>1000</v>
      </c>
      <c r="J35" s="89">
        <f t="shared" si="15"/>
        <v>1000</v>
      </c>
      <c r="K35" s="89"/>
      <c r="L35" s="89"/>
      <c r="M35" s="89"/>
      <c r="N35" s="89">
        <f t="shared" si="15"/>
        <v>0</v>
      </c>
      <c r="O35" s="89">
        <f t="shared" si="15"/>
        <v>0</v>
      </c>
      <c r="P35" s="89">
        <f t="shared" si="15"/>
        <v>0</v>
      </c>
      <c r="Q35" s="89">
        <f t="shared" si="15"/>
        <v>0</v>
      </c>
      <c r="R35" s="89">
        <f t="shared" si="15"/>
        <v>0</v>
      </c>
      <c r="S35" s="89">
        <f t="shared" si="15"/>
        <v>0</v>
      </c>
    </row>
    <row r="36" spans="2:19" s="12" customFormat="1" ht="15" customHeight="1">
      <c r="B36" s="9" t="s">
        <v>133</v>
      </c>
      <c r="C36" s="88" t="s">
        <v>62</v>
      </c>
      <c r="D36" s="88" t="s">
        <v>69</v>
      </c>
      <c r="E36" s="6">
        <v>10</v>
      </c>
      <c r="F36" s="6" t="s">
        <v>55</v>
      </c>
      <c r="G36" s="88" t="s">
        <v>27</v>
      </c>
      <c r="H36" s="89">
        <v>1000</v>
      </c>
      <c r="I36" s="89">
        <f t="shared" si="15"/>
        <v>1000</v>
      </c>
      <c r="J36" s="89">
        <f t="shared" si="15"/>
        <v>1000</v>
      </c>
      <c r="K36" s="89"/>
      <c r="L36" s="89"/>
      <c r="M36" s="89"/>
      <c r="N36" s="89">
        <f t="shared" si="15"/>
        <v>0</v>
      </c>
      <c r="O36" s="89">
        <f t="shared" si="15"/>
        <v>0</v>
      </c>
      <c r="P36" s="89">
        <f t="shared" si="15"/>
        <v>0</v>
      </c>
      <c r="Q36" s="89">
        <f t="shared" si="15"/>
        <v>0</v>
      </c>
      <c r="R36" s="89">
        <f t="shared" si="15"/>
        <v>0</v>
      </c>
      <c r="S36" s="89">
        <f t="shared" si="15"/>
        <v>0</v>
      </c>
    </row>
    <row r="37" spans="2:19" s="12" customFormat="1" ht="15" customHeight="1">
      <c r="B37" s="9" t="s">
        <v>134</v>
      </c>
      <c r="C37" s="88" t="s">
        <v>62</v>
      </c>
      <c r="D37" s="88" t="s">
        <v>72</v>
      </c>
      <c r="E37" s="6">
        <v>15</v>
      </c>
      <c r="F37" s="6" t="s">
        <v>58</v>
      </c>
      <c r="G37" s="88" t="s">
        <v>27</v>
      </c>
      <c r="H37" s="89">
        <v>1000</v>
      </c>
      <c r="I37" s="89">
        <f t="shared" si="15"/>
        <v>1000</v>
      </c>
      <c r="J37" s="89">
        <f t="shared" si="15"/>
        <v>1000</v>
      </c>
      <c r="K37" s="89"/>
      <c r="L37" s="89"/>
      <c r="M37" s="89"/>
      <c r="N37" s="89">
        <f t="shared" si="15"/>
        <v>0</v>
      </c>
      <c r="O37" s="89">
        <f t="shared" si="15"/>
        <v>0</v>
      </c>
      <c r="P37" s="89">
        <f t="shared" si="15"/>
        <v>0</v>
      </c>
      <c r="Q37" s="89">
        <f t="shared" si="15"/>
        <v>0</v>
      </c>
      <c r="R37" s="89">
        <f t="shared" si="15"/>
        <v>0</v>
      </c>
      <c r="S37" s="89">
        <f t="shared" si="15"/>
        <v>0</v>
      </c>
    </row>
    <row r="38" spans="2:19" s="86" customFormat="1" ht="14.25" customHeight="1">
      <c r="B38" s="9" t="s">
        <v>135</v>
      </c>
      <c r="C38" s="88" t="s">
        <v>62</v>
      </c>
      <c r="D38" s="88" t="s">
        <v>69</v>
      </c>
      <c r="E38" s="6">
        <v>10</v>
      </c>
      <c r="F38" s="6" t="s">
        <v>55</v>
      </c>
      <c r="G38" s="88" t="s">
        <v>27</v>
      </c>
      <c r="H38" s="89">
        <v>1000</v>
      </c>
      <c r="I38" s="89">
        <f t="shared" si="15"/>
        <v>1000</v>
      </c>
      <c r="J38" s="89">
        <f t="shared" si="15"/>
        <v>1000</v>
      </c>
      <c r="K38" s="89"/>
      <c r="L38" s="89"/>
      <c r="M38" s="89"/>
      <c r="N38" s="89">
        <f t="shared" si="15"/>
        <v>0</v>
      </c>
      <c r="O38" s="89">
        <f t="shared" si="15"/>
        <v>0</v>
      </c>
      <c r="P38" s="89">
        <f t="shared" si="15"/>
        <v>0</v>
      </c>
      <c r="Q38" s="89">
        <f t="shared" si="15"/>
        <v>0</v>
      </c>
      <c r="R38" s="89">
        <f t="shared" si="15"/>
        <v>0</v>
      </c>
      <c r="S38" s="89">
        <f t="shared" si="15"/>
        <v>0</v>
      </c>
    </row>
    <row r="39" spans="2:19" s="86" customFormat="1" ht="14.25" customHeight="1">
      <c r="B39" s="9" t="s">
        <v>136</v>
      </c>
      <c r="C39" s="88" t="s">
        <v>62</v>
      </c>
      <c r="D39" s="88" t="s">
        <v>69</v>
      </c>
      <c r="E39" s="6">
        <v>15</v>
      </c>
      <c r="F39" s="6" t="s">
        <v>58</v>
      </c>
      <c r="G39" s="88" t="s">
        <v>27</v>
      </c>
      <c r="H39" s="89">
        <v>1000</v>
      </c>
      <c r="I39" s="89">
        <f t="shared" si="15"/>
        <v>1000</v>
      </c>
      <c r="J39" s="89">
        <f t="shared" si="15"/>
        <v>1000</v>
      </c>
      <c r="K39" s="89">
        <f t="shared" si="15"/>
        <v>1000</v>
      </c>
      <c r="L39" s="89">
        <f t="shared" si="15"/>
        <v>1000</v>
      </c>
      <c r="M39" s="89">
        <f t="shared" si="15"/>
        <v>1000</v>
      </c>
      <c r="N39" s="89">
        <f t="shared" si="15"/>
        <v>1000</v>
      </c>
      <c r="O39" s="89">
        <f t="shared" si="15"/>
        <v>1000</v>
      </c>
      <c r="P39" s="89">
        <f t="shared" si="15"/>
        <v>1000</v>
      </c>
      <c r="Q39" s="89">
        <f t="shared" si="15"/>
        <v>1000</v>
      </c>
      <c r="R39" s="89">
        <f t="shared" si="15"/>
        <v>1000</v>
      </c>
      <c r="S39" s="89">
        <f t="shared" si="15"/>
        <v>1000</v>
      </c>
    </row>
    <row r="40" spans="2:19" s="86" customFormat="1" ht="14.25" customHeight="1">
      <c r="B40" s="9" t="s">
        <v>137</v>
      </c>
      <c r="C40" s="88" t="s">
        <v>62</v>
      </c>
      <c r="D40" s="88" t="s">
        <v>72</v>
      </c>
      <c r="E40" s="6">
        <v>15</v>
      </c>
      <c r="F40" s="6" t="s">
        <v>58</v>
      </c>
      <c r="G40" s="88" t="s">
        <v>27</v>
      </c>
      <c r="H40" s="89">
        <v>1000</v>
      </c>
      <c r="I40" s="89">
        <f t="shared" si="15"/>
        <v>1000</v>
      </c>
      <c r="J40" s="89">
        <f t="shared" si="15"/>
        <v>1000</v>
      </c>
      <c r="K40" s="89">
        <f t="shared" si="15"/>
        <v>1000</v>
      </c>
      <c r="L40" s="89">
        <f t="shared" si="15"/>
        <v>1000</v>
      </c>
      <c r="M40" s="89">
        <f t="shared" si="15"/>
        <v>1000</v>
      </c>
      <c r="N40" s="89">
        <f t="shared" si="15"/>
        <v>1000</v>
      </c>
      <c r="O40" s="89">
        <f t="shared" si="15"/>
        <v>1000</v>
      </c>
      <c r="P40" s="89">
        <f t="shared" si="15"/>
        <v>1000</v>
      </c>
      <c r="Q40" s="89">
        <f t="shared" si="15"/>
        <v>1000</v>
      </c>
      <c r="R40" s="89">
        <f t="shared" si="15"/>
        <v>1000</v>
      </c>
      <c r="S40" s="89">
        <f t="shared" si="15"/>
        <v>1000</v>
      </c>
    </row>
    <row r="41" spans="2:19" s="86" customFormat="1" ht="14.25" customHeight="1">
      <c r="B41" s="9" t="s">
        <v>138</v>
      </c>
      <c r="C41" s="88" t="s">
        <v>62</v>
      </c>
      <c r="D41" s="88" t="s">
        <v>69</v>
      </c>
      <c r="E41" s="6">
        <v>28</v>
      </c>
      <c r="F41" s="6" t="s">
        <v>34</v>
      </c>
      <c r="G41" s="88" t="s">
        <v>27</v>
      </c>
      <c r="H41" s="89">
        <v>1000</v>
      </c>
      <c r="I41" s="89">
        <f t="shared" si="15"/>
        <v>1000</v>
      </c>
      <c r="J41" s="89">
        <f t="shared" si="15"/>
        <v>1000</v>
      </c>
      <c r="K41" s="89">
        <f t="shared" si="15"/>
        <v>1000</v>
      </c>
      <c r="L41" s="89">
        <f t="shared" si="15"/>
        <v>1000</v>
      </c>
      <c r="M41" s="89">
        <f t="shared" si="15"/>
        <v>1000</v>
      </c>
      <c r="N41" s="89">
        <f t="shared" si="15"/>
        <v>1000</v>
      </c>
      <c r="O41" s="89">
        <f t="shared" si="15"/>
        <v>1000</v>
      </c>
      <c r="P41" s="89">
        <f t="shared" si="15"/>
        <v>1000</v>
      </c>
      <c r="Q41" s="89">
        <f t="shared" si="15"/>
        <v>1000</v>
      </c>
      <c r="R41" s="89">
        <f t="shared" si="15"/>
        <v>1000</v>
      </c>
      <c r="S41" s="89">
        <f t="shared" si="15"/>
        <v>1000</v>
      </c>
    </row>
    <row r="42" spans="2:19" s="86" customFormat="1" ht="14.25" customHeight="1">
      <c r="B42" s="9" t="s">
        <v>139</v>
      </c>
      <c r="C42" s="88" t="s">
        <v>62</v>
      </c>
      <c r="D42" s="88" t="s">
        <v>72</v>
      </c>
      <c r="E42" s="6">
        <v>15</v>
      </c>
      <c r="F42" s="6" t="s">
        <v>58</v>
      </c>
      <c r="G42" s="88" t="s">
        <v>27</v>
      </c>
      <c r="H42" s="89">
        <v>1000</v>
      </c>
      <c r="I42" s="89">
        <f t="shared" si="15"/>
        <v>1000</v>
      </c>
      <c r="J42" s="89">
        <f t="shared" si="15"/>
        <v>1000</v>
      </c>
      <c r="K42" s="89">
        <f t="shared" si="15"/>
        <v>1000</v>
      </c>
      <c r="L42" s="89">
        <f t="shared" si="15"/>
        <v>1000</v>
      </c>
      <c r="M42" s="89">
        <f t="shared" si="15"/>
        <v>1000</v>
      </c>
      <c r="N42" s="89">
        <f t="shared" si="15"/>
        <v>1000</v>
      </c>
      <c r="O42" s="89">
        <f t="shared" si="15"/>
        <v>1000</v>
      </c>
      <c r="P42" s="89">
        <f t="shared" si="15"/>
        <v>1000</v>
      </c>
      <c r="Q42" s="89">
        <f t="shared" si="15"/>
        <v>1000</v>
      </c>
      <c r="R42" s="89">
        <f t="shared" si="15"/>
        <v>1000</v>
      </c>
      <c r="S42" s="89">
        <f t="shared" si="15"/>
        <v>1000</v>
      </c>
    </row>
    <row r="43" spans="2:19" s="86" customFormat="1" ht="14.25" customHeight="1">
      <c r="B43" s="9" t="s">
        <v>140</v>
      </c>
      <c r="C43" s="88" t="s">
        <v>62</v>
      </c>
      <c r="D43" s="88" t="s">
        <v>70</v>
      </c>
      <c r="E43" s="6">
        <v>25</v>
      </c>
      <c r="F43" s="6" t="s">
        <v>34</v>
      </c>
      <c r="G43" s="88" t="s">
        <v>27</v>
      </c>
      <c r="H43" s="89">
        <v>1000</v>
      </c>
      <c r="I43" s="89">
        <f t="shared" si="15"/>
        <v>1000</v>
      </c>
      <c r="J43" s="89">
        <f t="shared" si="15"/>
        <v>1000</v>
      </c>
      <c r="K43" s="89">
        <f t="shared" si="15"/>
        <v>1000</v>
      </c>
      <c r="L43" s="89">
        <f t="shared" si="15"/>
        <v>1000</v>
      </c>
      <c r="M43" s="89">
        <f t="shared" si="15"/>
        <v>1000</v>
      </c>
      <c r="N43" s="89">
        <f t="shared" si="15"/>
        <v>1000</v>
      </c>
      <c r="O43" s="89">
        <f t="shared" si="15"/>
        <v>1000</v>
      </c>
      <c r="P43" s="89">
        <f t="shared" si="15"/>
        <v>1000</v>
      </c>
      <c r="Q43" s="89">
        <f t="shared" si="15"/>
        <v>1000</v>
      </c>
      <c r="R43" s="89">
        <f t="shared" si="15"/>
        <v>1000</v>
      </c>
      <c r="S43" s="89">
        <f t="shared" si="15"/>
        <v>1000</v>
      </c>
    </row>
    <row r="44" spans="2:19" s="86" customFormat="1" ht="14.25" customHeight="1">
      <c r="B44" s="9" t="s">
        <v>141</v>
      </c>
      <c r="C44" s="88" t="s">
        <v>62</v>
      </c>
      <c r="D44" s="88" t="s">
        <v>69</v>
      </c>
      <c r="E44" s="6">
        <v>15</v>
      </c>
      <c r="F44" s="6" t="s">
        <v>51</v>
      </c>
      <c r="G44" s="88" t="s">
        <v>27</v>
      </c>
      <c r="H44" s="89"/>
      <c r="I44" s="89"/>
      <c r="J44" s="89">
        <v>6000</v>
      </c>
      <c r="K44" s="89">
        <v>6000</v>
      </c>
      <c r="L44" s="89">
        <v>1000</v>
      </c>
      <c r="M44" s="89">
        <v>1000</v>
      </c>
      <c r="N44" s="89">
        <v>1000</v>
      </c>
      <c r="O44" s="89">
        <v>1000</v>
      </c>
      <c r="P44" s="89">
        <v>1000</v>
      </c>
      <c r="Q44" s="89">
        <v>1000</v>
      </c>
      <c r="R44" s="89">
        <v>1000</v>
      </c>
      <c r="S44" s="89">
        <v>1000</v>
      </c>
    </row>
    <row r="45" spans="2:19" s="86" customFormat="1">
      <c r="B45" s="87" t="s">
        <v>95</v>
      </c>
      <c r="C45" s="88" t="s">
        <v>1</v>
      </c>
      <c r="D45" s="88" t="s">
        <v>1</v>
      </c>
      <c r="E45" s="6">
        <v>19</v>
      </c>
      <c r="F45" s="6" t="s">
        <v>23</v>
      </c>
      <c r="G45" s="88" t="s">
        <v>28</v>
      </c>
      <c r="H45" s="89">
        <v>1000</v>
      </c>
      <c r="I45" s="89">
        <f>H45</f>
        <v>1000</v>
      </c>
      <c r="J45" s="89">
        <f t="shared" ref="J45:S45" si="16">I45</f>
        <v>1000</v>
      </c>
      <c r="K45" s="89">
        <f t="shared" si="16"/>
        <v>1000</v>
      </c>
      <c r="L45" s="89">
        <f t="shared" si="16"/>
        <v>1000</v>
      </c>
      <c r="M45" s="89">
        <f t="shared" si="16"/>
        <v>1000</v>
      </c>
      <c r="N45" s="89">
        <f t="shared" si="16"/>
        <v>1000</v>
      </c>
      <c r="O45" s="89">
        <f t="shared" si="16"/>
        <v>1000</v>
      </c>
      <c r="P45" s="89">
        <f t="shared" si="16"/>
        <v>1000</v>
      </c>
      <c r="Q45" s="89">
        <f t="shared" si="16"/>
        <v>1000</v>
      </c>
      <c r="R45" s="89">
        <f t="shared" si="16"/>
        <v>1000</v>
      </c>
      <c r="S45" s="89">
        <f t="shared" si="16"/>
        <v>1000</v>
      </c>
    </row>
    <row r="46" spans="2:19" s="86" customFormat="1">
      <c r="B46" s="154" t="s">
        <v>29</v>
      </c>
      <c r="C46" s="155" t="s">
        <v>62</v>
      </c>
      <c r="D46" s="155" t="s">
        <v>68</v>
      </c>
      <c r="E46" s="156">
        <v>25</v>
      </c>
      <c r="F46" s="156" t="s">
        <v>23</v>
      </c>
      <c r="G46" s="157" t="s">
        <v>28</v>
      </c>
      <c r="H46" s="158">
        <v>5000</v>
      </c>
      <c r="I46" s="158">
        <f>H46</f>
        <v>5000</v>
      </c>
      <c r="J46" s="158">
        <f t="shared" ref="J46:S46" si="17">I46</f>
        <v>5000</v>
      </c>
      <c r="K46" s="158">
        <f t="shared" si="17"/>
        <v>5000</v>
      </c>
      <c r="L46" s="158">
        <f t="shared" si="17"/>
        <v>5000</v>
      </c>
      <c r="M46" s="158">
        <f t="shared" si="17"/>
        <v>5000</v>
      </c>
      <c r="N46" s="158">
        <f t="shared" si="17"/>
        <v>5000</v>
      </c>
      <c r="O46" s="158">
        <f t="shared" si="17"/>
        <v>5000</v>
      </c>
      <c r="P46" s="158">
        <f t="shared" si="17"/>
        <v>5000</v>
      </c>
      <c r="Q46" s="158">
        <f t="shared" si="17"/>
        <v>5000</v>
      </c>
      <c r="R46" s="158">
        <f t="shared" si="17"/>
        <v>5000</v>
      </c>
      <c r="S46" s="158">
        <f t="shared" si="17"/>
        <v>5000</v>
      </c>
    </row>
    <row r="47" spans="2:19">
      <c r="E47" s="4"/>
    </row>
    <row r="48" spans="2:19">
      <c r="E48" s="4"/>
    </row>
    <row r="49" spans="5:5">
      <c r="E49" s="4"/>
    </row>
    <row r="50" spans="5:5">
      <c r="E50" s="4"/>
    </row>
    <row r="51" spans="5:5">
      <c r="E51" s="4"/>
    </row>
    <row r="52" spans="5:5">
      <c r="E52" s="4"/>
    </row>
    <row r="53" spans="5:5">
      <c r="E53" s="4"/>
    </row>
    <row r="54" spans="5:5">
      <c r="E54" s="4"/>
    </row>
    <row r="55" spans="5:5">
      <c r="E55" s="4"/>
    </row>
    <row r="56" spans="5:5">
      <c r="E56" s="4"/>
    </row>
    <row r="57" spans="5:5">
      <c r="E57" s="4"/>
    </row>
    <row r="58" spans="5:5">
      <c r="E58" s="4"/>
    </row>
    <row r="59" spans="5:5">
      <c r="E59" s="4"/>
    </row>
    <row r="60" spans="5:5">
      <c r="E60" s="4"/>
    </row>
    <row r="61" spans="5:5">
      <c r="E61" s="4"/>
    </row>
    <row r="62" spans="5:5">
      <c r="E62" s="4"/>
    </row>
    <row r="63" spans="5:5">
      <c r="E63" s="4"/>
    </row>
    <row r="64" spans="5:5">
      <c r="E64" s="4"/>
    </row>
    <row r="65" spans="5:5">
      <c r="E65" s="4"/>
    </row>
  </sheetData>
  <conditionalFormatting sqref="B5">
    <cfRule type="duplicateValues" dxfId="132" priority="8"/>
  </conditionalFormatting>
  <conditionalFormatting sqref="B5">
    <cfRule type="duplicateValues" dxfId="131" priority="7"/>
  </conditionalFormatting>
  <conditionalFormatting sqref="B46:B1048576 B4 B6:B44">
    <cfRule type="duplicateValues" dxfId="130" priority="152"/>
  </conditionalFormatting>
  <conditionalFormatting sqref="B45">
    <cfRule type="duplicateValues" dxfId="129" priority="3"/>
  </conditionalFormatting>
  <conditionalFormatting sqref="B10:B16 B4 B6:B7">
    <cfRule type="duplicateValues" dxfId="128" priority="212"/>
  </conditionalFormatting>
  <conditionalFormatting sqref="B24:B25 B8:B9 B17 B30:B31 B33:B44">
    <cfRule type="duplicateValues" dxfId="127" priority="216"/>
  </conditionalFormatting>
  <conditionalFormatting sqref="F1:F1048576">
    <cfRule type="cellIs" dxfId="126" priority="2" operator="equal">
      <formula>"גמיש"</formula>
    </cfRule>
  </conditionalFormatting>
  <conditionalFormatting sqref="B32">
    <cfRule type="duplicateValues" dxfId="125" priority="1"/>
  </conditionalFormatting>
  <pageMargins left="0.7" right="0.7" top="0.75" bottom="0.75" header="0.3" footer="0.3"/>
  <pageSetup paperSize="9" orientation="portrait" verticalDpi="0" r:id="rId1"/>
  <ignoredErrors>
    <ignoredError sqref="J44:S44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59999389629810485"/>
  </sheetPr>
  <dimension ref="D4:H128"/>
  <sheetViews>
    <sheetView rightToLeft="1" workbookViewId="0">
      <selection activeCell="F11" sqref="F11"/>
    </sheetView>
  </sheetViews>
  <sheetFormatPr defaultRowHeight="15"/>
  <cols>
    <col min="4" max="4" width="37" style="1" bestFit="1" customWidth="1"/>
    <col min="5" max="6" width="12.5703125" style="3" bestFit="1" customWidth="1"/>
  </cols>
  <sheetData>
    <row r="4" spans="4:8">
      <c r="D4" s="1" t="str">
        <f>'All Periods'!E11</f>
        <v>וודאיות - דיסקונט</v>
      </c>
    </row>
    <row r="5" spans="4:8">
      <c r="D5" s="1" t="str">
        <f>'All Periods'!E12</f>
        <v>הלוואות - דיסקונט</v>
      </c>
      <c r="E5" s="3">
        <f>'All Periods'!F12</f>
        <v>54000</v>
      </c>
      <c r="F5" s="3">
        <f>Forecast2!F12+Forecast3!F12+Forecast4!F12+Forecast5!F12+Forecast6!F12+Forecast7!F12</f>
        <v>54000</v>
      </c>
      <c r="G5" t="b">
        <f>F5=E5</f>
        <v>1</v>
      </c>
    </row>
    <row r="6" spans="4:8">
      <c r="D6" s="1" t="str">
        <f>'All Periods'!E13</f>
        <v>צ'ק - דיסקונט</v>
      </c>
      <c r="E6" s="3">
        <f>'All Periods'!F13</f>
        <v>27000</v>
      </c>
      <c r="F6" s="3">
        <f>Forecast2!F13+Forecast3!F13+Forecast4!F13+Forecast5!F13+Forecast6!F13+Forecast7!F13</f>
        <v>27000</v>
      </c>
      <c r="G6" s="2" t="b">
        <f t="shared" ref="G6:G10" si="0">F6=E6</f>
        <v>1</v>
      </c>
      <c r="H6" s="2">
        <f>E6-F6</f>
        <v>0</v>
      </c>
    </row>
    <row r="7" spans="4:8">
      <c r="D7" s="1">
        <f>'All Periods'!E14</f>
        <v>0</v>
      </c>
      <c r="F7" s="3">
        <f>Forecast2!F14+Forecast3!F14+Forecast4!F14+Forecast5!F14+Forecast6!F14+Forecast7!F14</f>
        <v>0</v>
      </c>
      <c r="G7" s="2" t="b">
        <f t="shared" si="0"/>
        <v>1</v>
      </c>
    </row>
    <row r="8" spans="4:8">
      <c r="D8" s="1">
        <f>'All Periods'!E15</f>
        <v>0</v>
      </c>
      <c r="E8" s="3">
        <f>'All Periods'!F15</f>
        <v>0</v>
      </c>
      <c r="F8" s="3">
        <f>Forecast2!F15+Forecast3!F15+Forecast4!F15+Forecast5!F15+Forecast6!F15+Forecast7!F15</f>
        <v>0</v>
      </c>
      <c r="G8" s="2" t="b">
        <f t="shared" si="0"/>
        <v>1</v>
      </c>
    </row>
    <row r="9" spans="4:8">
      <c r="D9" s="1">
        <f>'All Periods'!E16</f>
        <v>0</v>
      </c>
      <c r="E9" s="3">
        <f>'All Periods'!F16</f>
        <v>0</v>
      </c>
      <c r="F9" s="3">
        <f>Forecast2!F16+Forecast3!F16+Forecast4!F16+Forecast5!F16+Forecast6!F16+Forecast7!F16</f>
        <v>0</v>
      </c>
      <c r="G9" s="2" t="b">
        <f t="shared" si="0"/>
        <v>1</v>
      </c>
    </row>
    <row r="10" spans="4:8">
      <c r="E10" s="3">
        <f>'All Periods'!F17</f>
        <v>0</v>
      </c>
      <c r="F10" s="3">
        <f>Forecast2!F17+Forecast3!F17+Forecast4!F17+Forecast5!F17+Forecast6!F17+Forecast7!F17</f>
        <v>0</v>
      </c>
      <c r="G10" s="2" t="b">
        <f t="shared" si="0"/>
        <v>1</v>
      </c>
    </row>
    <row r="11" spans="4:8">
      <c r="F11" s="3">
        <f>Forecast2!F18+Forecast3!F18+Forecast4!F18+Forecast5!F18+Forecast6!F18+Forecast7!F18</f>
        <v>0</v>
      </c>
      <c r="G11" s="2" t="b">
        <f t="shared" ref="G11:G73" si="1">F11=E11</f>
        <v>1</v>
      </c>
    </row>
    <row r="12" spans="4:8">
      <c r="F12" s="3">
        <f>Forecast2!F19+Forecast3!F19+Forecast4!F19+Forecast5!F19+Forecast6!F19+Forecast7!F19</f>
        <v>0</v>
      </c>
      <c r="G12" s="2" t="b">
        <f t="shared" si="1"/>
        <v>1</v>
      </c>
    </row>
    <row r="13" spans="4:8">
      <c r="F13" s="3">
        <f>Forecast2!F20+Forecast3!F20+Forecast4!F20+Forecast5!F20+Forecast6!F20+Forecast7!F20</f>
        <v>0</v>
      </c>
      <c r="G13" s="2" t="b">
        <f t="shared" si="1"/>
        <v>1</v>
      </c>
    </row>
    <row r="14" spans="4:8">
      <c r="F14" s="3">
        <f>Forecast2!F21+Forecast3!F21+Forecast4!F21+Forecast5!F21+Forecast6!F21+Forecast7!F21</f>
        <v>0</v>
      </c>
      <c r="G14" s="2" t="b">
        <f t="shared" si="1"/>
        <v>1</v>
      </c>
    </row>
    <row r="15" spans="4:8">
      <c r="F15" s="3">
        <f>Forecast2!F22+Forecast3!F22+Forecast4!F22+Forecast5!F22+Forecast6!F22+Forecast7!F22</f>
        <v>0</v>
      </c>
      <c r="G15" s="2" t="b">
        <f t="shared" si="1"/>
        <v>1</v>
      </c>
    </row>
    <row r="16" spans="4:8">
      <c r="D16" s="1" t="str">
        <f>'All Periods'!E24</f>
        <v>סה"כ</v>
      </c>
      <c r="G16" s="2" t="b">
        <f t="shared" si="1"/>
        <v>1</v>
      </c>
      <c r="H16" s="2"/>
    </row>
    <row r="17" spans="4:8">
      <c r="F17" s="3">
        <f>Forecast2!F24+Forecast3!F24+Forecast4!F24+Forecast5!F24+Forecast6!F24+Forecast7!F24</f>
        <v>0</v>
      </c>
      <c r="G17" s="2" t="b">
        <f t="shared" si="1"/>
        <v>1</v>
      </c>
    </row>
    <row r="18" spans="4:8">
      <c r="D18" s="1" t="str">
        <f>'All Periods'!E26</f>
        <v>וודאיות - מזרחי</v>
      </c>
      <c r="F18" s="3">
        <f>Forecast2!F25+Forecast3!F25+Forecast4!F25+Forecast5!F25+Forecast6!F25+Forecast7!F25</f>
        <v>0</v>
      </c>
      <c r="G18" s="2" t="b">
        <f t="shared" si="1"/>
        <v>1</v>
      </c>
    </row>
    <row r="19" spans="4:8">
      <c r="D19" s="1" t="str">
        <f>'All Periods'!E27</f>
        <v>הלוואות - מזרחי</v>
      </c>
      <c r="E19" s="3">
        <f>'All Periods'!F27</f>
        <v>36000</v>
      </c>
      <c r="F19" s="3">
        <f>Forecast2!F26+Forecast3!F26+Forecast4!F26+Forecast5!F26+Forecast6!F26+Forecast7!F26</f>
        <v>36000</v>
      </c>
      <c r="G19" s="2" t="b">
        <f t="shared" si="1"/>
        <v>1</v>
      </c>
    </row>
    <row r="20" spans="4:8">
      <c r="D20" s="1" t="str">
        <f>'All Periods'!E28</f>
        <v>צ'ק - מזרחי</v>
      </c>
      <c r="E20" s="3">
        <f>'All Periods'!F28</f>
        <v>16000</v>
      </c>
      <c r="F20" s="3">
        <f>Forecast2!F27+Forecast3!F27+Forecast4!F27+Forecast5!F27+Forecast6!F27+Forecast7!F27</f>
        <v>16000</v>
      </c>
      <c r="G20" s="2" t="b">
        <f t="shared" si="1"/>
        <v>1</v>
      </c>
    </row>
    <row r="21" spans="4:8">
      <c r="D21" s="1" t="str">
        <f>'All Periods'!E29</f>
        <v>הוראות קבע - מזרחי</v>
      </c>
      <c r="E21" s="3">
        <f>'All Periods'!F29</f>
        <v>2000</v>
      </c>
      <c r="F21" s="3">
        <f>Forecast2!F28+Forecast3!F28+Forecast4!F28+Forecast5!F28+Forecast6!F28+Forecast7!F28</f>
        <v>2000</v>
      </c>
      <c r="G21" s="2" t="b">
        <f t="shared" si="1"/>
        <v>1</v>
      </c>
      <c r="H21" s="2">
        <f>E21-F21</f>
        <v>0</v>
      </c>
    </row>
    <row r="22" spans="4:8">
      <c r="D22" s="1">
        <f>'All Periods'!E30</f>
        <v>0</v>
      </c>
      <c r="E22" s="3">
        <f>'All Periods'!F30</f>
        <v>0</v>
      </c>
      <c r="F22" s="3">
        <f>Forecast2!F29+Forecast3!F29+Forecast4!F29+Forecast5!F29+Forecast6!F29+Forecast7!F29</f>
        <v>0</v>
      </c>
      <c r="G22" s="2" t="b">
        <f t="shared" si="1"/>
        <v>1</v>
      </c>
      <c r="H22" s="2">
        <f>E22-F22</f>
        <v>0</v>
      </c>
    </row>
    <row r="23" spans="4:8">
      <c r="D23" s="1">
        <f>'All Periods'!E31</f>
        <v>0</v>
      </c>
      <c r="E23" s="3">
        <f>'All Periods'!F31</f>
        <v>0</v>
      </c>
      <c r="F23" s="3">
        <f>Forecast2!F30+Forecast3!F30+Forecast4!F30+Forecast5!F30+Forecast6!F30+Forecast7!F30</f>
        <v>0</v>
      </c>
      <c r="G23" s="2" t="b">
        <f t="shared" si="1"/>
        <v>1</v>
      </c>
      <c r="H23" s="2">
        <f>E23-F23</f>
        <v>0</v>
      </c>
    </row>
    <row r="24" spans="4:8">
      <c r="D24" s="1" t="str">
        <f>'All Periods'!E32</f>
        <v>סה"כ</v>
      </c>
      <c r="G24" s="2" t="b">
        <f t="shared" si="1"/>
        <v>1</v>
      </c>
    </row>
    <row r="25" spans="4:8">
      <c r="F25" s="3">
        <f>Forecast2!F32+Forecast3!F32+Forecast4!F32+Forecast5!F32+Forecast6!F32+Forecast7!F32</f>
        <v>0</v>
      </c>
      <c r="G25" s="2" t="b">
        <f t="shared" si="1"/>
        <v>1</v>
      </c>
    </row>
    <row r="26" spans="4:8">
      <c r="F26" s="3">
        <f>Forecast2!F33+Forecast3!F33+Forecast4!F33+Forecast5!F33+Forecast6!F33+Forecast7!F33</f>
        <v>0</v>
      </c>
      <c r="G26" s="2" t="b">
        <f t="shared" si="1"/>
        <v>1</v>
      </c>
    </row>
    <row r="27" spans="4:8">
      <c r="F27" s="3">
        <f>Forecast2!F34+Forecast3!F34+Forecast4!F34+Forecast5!F34+Forecast6!F34+Forecast7!F34</f>
        <v>0</v>
      </c>
      <c r="G27" s="2" t="b">
        <f t="shared" si="1"/>
        <v>1</v>
      </c>
    </row>
    <row r="28" spans="4:8">
      <c r="F28" s="3">
        <f>Forecast2!F35+Forecast3!F35+Forecast4!F35+Forecast5!F35+Forecast6!F35+Forecast7!F35</f>
        <v>0</v>
      </c>
      <c r="G28" s="2" t="b">
        <f t="shared" si="1"/>
        <v>1</v>
      </c>
    </row>
    <row r="29" spans="4:8">
      <c r="F29" s="3">
        <f>Forecast2!F36+Forecast3!F36+Forecast4!F36+Forecast5!F36+Forecast6!F36+Forecast7!F36</f>
        <v>0</v>
      </c>
      <c r="G29" s="2" t="b">
        <f t="shared" si="1"/>
        <v>1</v>
      </c>
    </row>
    <row r="30" spans="4:8">
      <c r="D30" s="1" t="str">
        <f>'All Periods'!E38</f>
        <v>משכורות, מעמ, מס הכנסה, ביטוח לאומי</v>
      </c>
      <c r="F30" s="3">
        <f>Forecast2!F37+Forecast3!F37+Forecast4!F37+Forecast5!F37+Forecast6!F37+Forecast7!F37</f>
        <v>0</v>
      </c>
      <c r="G30" s="2" t="b">
        <f t="shared" si="1"/>
        <v>1</v>
      </c>
    </row>
    <row r="31" spans="4:8">
      <c r="D31" s="1" t="str">
        <f>'All Periods'!E39</f>
        <v>משכורות</v>
      </c>
      <c r="E31" s="3">
        <f>'All Periods'!F39</f>
        <v>600000</v>
      </c>
      <c r="F31" s="3">
        <f>Forecast2!F38+Forecast3!F38+Forecast4!F38+Forecast5!F38+Forecast6!F38+Forecast7!F38</f>
        <v>600000</v>
      </c>
      <c r="G31" s="2" t="b">
        <f t="shared" si="1"/>
        <v>1</v>
      </c>
    </row>
    <row r="32" spans="4:8">
      <c r="D32" s="1" t="str">
        <f>'All Periods'!E40</f>
        <v>ביטוח לאומי</v>
      </c>
      <c r="E32" s="3">
        <f>'All Periods'!F40</f>
        <v>120000</v>
      </c>
      <c r="F32" s="3">
        <f>Forecast2!F39+Forecast3!F39+Forecast4!F39+Forecast5!F39+Forecast6!F39+Forecast7!F39</f>
        <v>120000</v>
      </c>
      <c r="G32" s="2" t="b">
        <f t="shared" si="1"/>
        <v>1</v>
      </c>
    </row>
    <row r="33" spans="4:8">
      <c r="D33" s="1" t="str">
        <f>'All Periods'!E41</f>
        <v>מס הכנסה - ניכוי במקור משכורות</v>
      </c>
      <c r="E33" s="3">
        <f>'All Periods'!F41</f>
        <v>120000</v>
      </c>
      <c r="F33" s="3">
        <f>Forecast2!F40+Forecast3!F40+Forecast4!F40+Forecast5!F40+Forecast6!F40+Forecast7!F40</f>
        <v>120000</v>
      </c>
      <c r="G33" s="2" t="b">
        <f t="shared" si="1"/>
        <v>1</v>
      </c>
    </row>
    <row r="34" spans="4:8">
      <c r="D34" s="1" t="str">
        <f>'All Periods'!E42</f>
        <v>קופות פנסיה</v>
      </c>
      <c r="E34" s="3">
        <f>'All Periods'!F42</f>
        <v>180000</v>
      </c>
      <c r="F34" s="3">
        <f>Forecast2!F41+Forecast3!F41+Forecast4!F41+Forecast5!F41+Forecast6!F41+Forecast7!F41</f>
        <v>180000</v>
      </c>
      <c r="G34" s="2" t="b">
        <f t="shared" si="1"/>
        <v>1</v>
      </c>
    </row>
    <row r="35" spans="4:8">
      <c r="D35" s="1" t="str">
        <f>'All Periods'!E43</f>
        <v>מעמ ישראל</v>
      </c>
      <c r="E35" s="3">
        <f>'All Periods'!F43</f>
        <v>60000</v>
      </c>
      <c r="F35" s="3">
        <f>Forecast2!F42+Forecast3!F42+Forecast4!F42+Forecast5!F42+Forecast6!F42+Forecast7!F42</f>
        <v>60000</v>
      </c>
      <c r="G35" s="2" t="b">
        <f t="shared" si="1"/>
        <v>1</v>
      </c>
    </row>
    <row r="36" spans="4:8">
      <c r="D36" s="1" t="str">
        <f>'All Periods'!E44</f>
        <v>משכורות - אירופה</v>
      </c>
      <c r="E36" s="3">
        <f>'All Periods'!F44</f>
        <v>131100</v>
      </c>
      <c r="F36" s="3">
        <f>Forecast2!F43+Forecast3!F43+Forecast4!F43+Forecast5!F43+Forecast6!F43+Forecast7!F43</f>
        <v>131100</v>
      </c>
      <c r="G36" s="2" t="b">
        <f t="shared" si="1"/>
        <v>1</v>
      </c>
    </row>
    <row r="37" spans="4:8">
      <c r="D37" s="1">
        <f>'All Periods'!E45</f>
        <v>0</v>
      </c>
      <c r="E37" s="3">
        <f>'All Periods'!F45</f>
        <v>0</v>
      </c>
      <c r="F37" s="3">
        <f>Forecast2!F44+Forecast3!F44+Forecast4!F44+Forecast5!F44+Forecast6!F44+Forecast7!F44</f>
        <v>0</v>
      </c>
      <c r="G37" s="2" t="b">
        <f t="shared" ref="G37" si="2">F37=E37</f>
        <v>1</v>
      </c>
      <c r="H37" s="2">
        <f>E37-F37</f>
        <v>0</v>
      </c>
    </row>
    <row r="38" spans="4:8">
      <c r="F38" s="3">
        <f>Forecast2!F45+Forecast3!F45+Forecast4!F45+Forecast5!F45+Forecast6!F45+Forecast7!F45</f>
        <v>0</v>
      </c>
      <c r="G38" s="2" t="b">
        <f t="shared" si="1"/>
        <v>1</v>
      </c>
    </row>
    <row r="39" spans="4:8">
      <c r="D39" s="1" t="str">
        <f>'All Periods'!E47</f>
        <v>ספקים - שוטף - לא בשקים, הוראות קבע או אשראי</v>
      </c>
      <c r="F39" s="3">
        <f>Forecast2!F46+Forecast3!F46+Forecast4!F46+Forecast5!F46+Forecast6!F46+Forecast7!F46</f>
        <v>0</v>
      </c>
      <c r="G39" s="2" t="b">
        <f t="shared" si="1"/>
        <v>1</v>
      </c>
    </row>
    <row r="40" spans="4:8">
      <c r="D40" s="1" t="str">
        <f>'All Periods'!E48</f>
        <v>ספק א</v>
      </c>
      <c r="E40" s="3">
        <f>'All Periods'!F48</f>
        <v>30000</v>
      </c>
      <c r="F40" s="3">
        <f>Forecast2!F47+Forecast3!F47+Forecast4!F47+Forecast5!F47+Forecast6!F47+Forecast7!F47</f>
        <v>30000</v>
      </c>
      <c r="G40" s="2" t="b">
        <f t="shared" si="1"/>
        <v>1</v>
      </c>
    </row>
    <row r="41" spans="4:8">
      <c r="D41" s="1" t="str">
        <f>'All Periods'!E49</f>
        <v>ספק ב</v>
      </c>
      <c r="E41" s="3">
        <f>'All Periods'!F49</f>
        <v>3000</v>
      </c>
      <c r="F41" s="3">
        <f>Forecast2!F48+Forecast3!F48+Forecast4!F48+Forecast5!F48+Forecast6!F48+Forecast7!F48</f>
        <v>3000</v>
      </c>
      <c r="G41" s="2" t="b">
        <f t="shared" si="1"/>
        <v>1</v>
      </c>
    </row>
    <row r="42" spans="4:8">
      <c r="D42" s="1" t="str">
        <f>'All Periods'!E50</f>
        <v>ספק ג</v>
      </c>
      <c r="E42" s="3">
        <f>'All Periods'!F50</f>
        <v>78660</v>
      </c>
      <c r="F42" s="3">
        <f>Forecast2!F49+Forecast3!F49+Forecast4!F49+Forecast5!F49+Forecast6!F49+Forecast7!F49</f>
        <v>78660</v>
      </c>
      <c r="G42" s="2" t="b">
        <f t="shared" si="1"/>
        <v>1</v>
      </c>
    </row>
    <row r="43" spans="4:8">
      <c r="D43" s="1" t="str">
        <f>'All Periods'!E51</f>
        <v>ספק ד</v>
      </c>
      <c r="E43" s="3">
        <f>'All Periods'!F51</f>
        <v>6930</v>
      </c>
      <c r="F43" s="3">
        <f>Forecast2!F50+Forecast3!F50+Forecast4!F50+Forecast5!F50+Forecast6!F50+Forecast7!F50</f>
        <v>6930</v>
      </c>
      <c r="G43" s="2" t="b">
        <f t="shared" si="1"/>
        <v>1</v>
      </c>
    </row>
    <row r="44" spans="4:8">
      <c r="D44" s="1">
        <f>'All Periods'!E52</f>
        <v>0</v>
      </c>
      <c r="E44" s="3">
        <f>'All Periods'!F52</f>
        <v>0</v>
      </c>
      <c r="F44" s="3">
        <f>Forecast2!F51+Forecast3!F51+Forecast4!F51+Forecast5!F51+Forecast6!F51+Forecast7!F51</f>
        <v>0</v>
      </c>
      <c r="G44" s="2" t="b">
        <f t="shared" si="1"/>
        <v>1</v>
      </c>
    </row>
    <row r="45" spans="4:8">
      <c r="D45" s="1">
        <f>'All Periods'!E53</f>
        <v>0</v>
      </c>
      <c r="E45" s="3">
        <f>'All Periods'!F53</f>
        <v>0</v>
      </c>
      <c r="F45" s="3">
        <f>Forecast2!F52+Forecast3!F52+Forecast4!F52+Forecast5!F52+Forecast6!F52+Forecast7!F52</f>
        <v>0</v>
      </c>
      <c r="G45" s="2" t="b">
        <f t="shared" si="1"/>
        <v>1</v>
      </c>
    </row>
    <row r="46" spans="4:8">
      <c r="D46" s="1">
        <f>'All Periods'!E54</f>
        <v>0</v>
      </c>
      <c r="E46" s="3">
        <f>'All Periods'!F54</f>
        <v>0</v>
      </c>
      <c r="F46" s="3">
        <f>Forecast2!F53+Forecast3!F53+Forecast4!F53+Forecast5!F53+Forecast6!F53+Forecast7!F53</f>
        <v>0</v>
      </c>
      <c r="G46" s="2" t="b">
        <f t="shared" si="1"/>
        <v>1</v>
      </c>
    </row>
    <row r="47" spans="4:8">
      <c r="D47" s="1">
        <f>'All Periods'!E55</f>
        <v>0</v>
      </c>
      <c r="E47" s="3">
        <f>'All Periods'!F55</f>
        <v>0</v>
      </c>
      <c r="F47" s="3">
        <f>Forecast2!F54+Forecast3!F54+Forecast4!F54+Forecast5!F54+Forecast6!F54+Forecast7!F54</f>
        <v>0</v>
      </c>
      <c r="G47" s="2" t="b">
        <f t="shared" si="1"/>
        <v>1</v>
      </c>
    </row>
    <row r="48" spans="4:8">
      <c r="D48" s="1">
        <f>'All Periods'!E56</f>
        <v>0</v>
      </c>
      <c r="E48" s="3">
        <f>'All Periods'!F56</f>
        <v>0</v>
      </c>
      <c r="F48" s="3">
        <f>Forecast2!F55+Forecast3!F55+Forecast4!F55+Forecast5!F55+Forecast6!F55+Forecast7!F55</f>
        <v>0</v>
      </c>
      <c r="G48" s="2" t="b">
        <f t="shared" si="1"/>
        <v>1</v>
      </c>
    </row>
    <row r="49" spans="4:7">
      <c r="D49" s="1">
        <f>'All Periods'!E60</f>
        <v>0</v>
      </c>
      <c r="E49" s="3">
        <f>'All Periods'!F60</f>
        <v>0</v>
      </c>
      <c r="F49" s="3">
        <f>Forecast2!F56+Forecast3!F56+Forecast4!F56+Forecast5!F56+Forecast6!F56+Forecast7!F56</f>
        <v>0</v>
      </c>
      <c r="G49" s="2" t="b">
        <f t="shared" si="1"/>
        <v>1</v>
      </c>
    </row>
    <row r="50" spans="4:7">
      <c r="D50" s="1" t="str">
        <f>'All Periods'!E61</f>
        <v>חובות לספקים</v>
      </c>
      <c r="F50" s="3">
        <f>Forecast2!F57+Forecast3!F57+Forecast4!F57+Forecast5!F57+Forecast6!F57+Forecast7!F57</f>
        <v>0</v>
      </c>
      <c r="G50" s="2" t="b">
        <f t="shared" si="1"/>
        <v>1</v>
      </c>
    </row>
    <row r="51" spans="4:7">
      <c r="D51" s="1" t="str">
        <f>'All Periods'!E62</f>
        <v>חוב לספק א</v>
      </c>
      <c r="E51" s="3">
        <f>'All Periods'!F62</f>
        <v>50000</v>
      </c>
      <c r="F51" s="3">
        <f>Forecast2!F62+Forecast3!F62+Forecast4!F62+Forecast5!F62+Forecast6!F62+Forecast7!F62</f>
        <v>50000</v>
      </c>
      <c r="G51" s="2" t="b">
        <f t="shared" si="1"/>
        <v>1</v>
      </c>
    </row>
    <row r="52" spans="4:7">
      <c r="D52" s="1" t="str">
        <f>'All Periods'!E63</f>
        <v>חוב לספק ב</v>
      </c>
      <c r="E52" s="3">
        <f>'All Periods'!F63</f>
        <v>43700</v>
      </c>
      <c r="F52" s="3">
        <f>Forecast2!F63+Forecast3!F63+Forecast4!F63+Forecast5!F63+Forecast6!F63+Forecast7!F63</f>
        <v>43700</v>
      </c>
      <c r="G52" s="2" t="b">
        <f t="shared" si="1"/>
        <v>1</v>
      </c>
    </row>
    <row r="53" spans="4:7">
      <c r="D53" s="1" t="str">
        <f>'All Periods'!E64</f>
        <v>חוב לספק ג</v>
      </c>
      <c r="E53" s="3">
        <f>'All Periods'!F64</f>
        <v>20000</v>
      </c>
      <c r="F53" s="3">
        <f>Forecast2!F64+Forecast3!F64+Forecast4!F64+Forecast5!F64+Forecast6!F64+Forecast7!F64</f>
        <v>20000</v>
      </c>
      <c r="G53" s="2" t="b">
        <f t="shared" si="1"/>
        <v>1</v>
      </c>
    </row>
    <row r="54" spans="4:7">
      <c r="D54" s="1" t="str">
        <f>'All Periods'!E65</f>
        <v>חוב לספק ד</v>
      </c>
      <c r="E54" s="3">
        <f>'All Periods'!F65</f>
        <v>100000</v>
      </c>
      <c r="F54" s="3">
        <f>Forecast2!F65+Forecast3!F65+Forecast4!F65+Forecast5!F65+Forecast6!F65+Forecast7!F65</f>
        <v>100000</v>
      </c>
      <c r="G54" s="2" t="b">
        <f t="shared" si="1"/>
        <v>1</v>
      </c>
    </row>
    <row r="55" spans="4:7">
      <c r="D55" s="1">
        <f>'All Periods'!E66</f>
        <v>0</v>
      </c>
      <c r="E55" s="3">
        <f>'All Periods'!F66</f>
        <v>0</v>
      </c>
      <c r="F55" s="3">
        <f>Forecast2!F66+Forecast3!F66+Forecast4!F66+Forecast5!F66+Forecast6!F66+Forecast7!F66</f>
        <v>0</v>
      </c>
      <c r="G55" s="2" t="b">
        <f t="shared" si="1"/>
        <v>1</v>
      </c>
    </row>
    <row r="56" spans="4:7">
      <c r="D56" s="1">
        <f>'All Periods'!E67</f>
        <v>0</v>
      </c>
      <c r="E56" s="3">
        <f>'All Periods'!F67</f>
        <v>0</v>
      </c>
      <c r="F56" s="3">
        <f>Forecast2!F67+Forecast3!F67+Forecast4!F67+Forecast5!F67+Forecast6!F67+Forecast7!F67</f>
        <v>0</v>
      </c>
      <c r="G56" s="2" t="b">
        <f t="shared" si="1"/>
        <v>1</v>
      </c>
    </row>
    <row r="57" spans="4:7">
      <c r="D57" s="1">
        <f>'All Periods'!E68</f>
        <v>0</v>
      </c>
      <c r="E57" s="3">
        <f>'All Periods'!F68</f>
        <v>0</v>
      </c>
      <c r="F57" s="3">
        <f>Forecast2!F68+Forecast3!F68+Forecast4!F68+Forecast5!F68+Forecast6!F68+Forecast7!F68</f>
        <v>0</v>
      </c>
      <c r="G57" s="2" t="b">
        <f t="shared" si="1"/>
        <v>1</v>
      </c>
    </row>
    <row r="58" spans="4:7">
      <c r="D58" s="1">
        <f>'All Periods'!E69</f>
        <v>0</v>
      </c>
      <c r="E58" s="3">
        <f>'All Periods'!F69</f>
        <v>0</v>
      </c>
      <c r="F58" s="3">
        <f>Forecast2!F69+Forecast3!F69+Forecast4!F69+Forecast5!F69+Forecast6!F69+Forecast7!F69</f>
        <v>0</v>
      </c>
      <c r="G58" s="2" t="b">
        <f t="shared" si="1"/>
        <v>1</v>
      </c>
    </row>
    <row r="59" spans="4:7">
      <c r="D59" s="1">
        <f>'All Periods'!E70</f>
        <v>0</v>
      </c>
      <c r="F59" s="3">
        <f>Forecast2!F70+Forecast3!F70+Forecast4!F70+Forecast5!F70+Forecast6!F70+Forecast7!F70</f>
        <v>0</v>
      </c>
      <c r="G59" s="2" t="b">
        <f t="shared" si="1"/>
        <v>1</v>
      </c>
    </row>
    <row r="60" spans="4:7">
      <c r="D60" s="1">
        <f>'All Periods'!E71</f>
        <v>0</v>
      </c>
      <c r="E60" s="3">
        <f>'All Periods'!F71</f>
        <v>0</v>
      </c>
      <c r="F60" s="3">
        <f>Forecast2!F71+Forecast3!F71+Forecast4!F71+Forecast5!F71+Forecast6!F71+Forecast7!F71</f>
        <v>0</v>
      </c>
      <c r="G60" s="2" t="b">
        <f t="shared" si="1"/>
        <v>1</v>
      </c>
    </row>
    <row r="61" spans="4:7">
      <c r="D61" s="1">
        <f>'All Periods'!E72</f>
        <v>0</v>
      </c>
      <c r="E61" s="3">
        <f>'All Periods'!F72</f>
        <v>0</v>
      </c>
      <c r="F61" s="3">
        <f>Forecast2!F72+Forecast3!F72+Forecast4!F72+Forecast5!F72+Forecast6!F72+Forecast7!F72</f>
        <v>0</v>
      </c>
      <c r="G61" s="2" t="b">
        <f t="shared" si="1"/>
        <v>1</v>
      </c>
    </row>
    <row r="62" spans="4:7">
      <c r="D62" s="1">
        <f>'All Periods'!E73</f>
        <v>0</v>
      </c>
      <c r="E62" s="3">
        <f>'All Periods'!F73</f>
        <v>0</v>
      </c>
      <c r="F62" s="3">
        <f>Forecast2!F73+Forecast3!F73+Forecast4!F73+Forecast5!F73+Forecast6!F73+Forecast7!F73</f>
        <v>0</v>
      </c>
      <c r="G62" s="2" t="b">
        <f t="shared" si="1"/>
        <v>1</v>
      </c>
    </row>
    <row r="63" spans="4:7">
      <c r="D63" s="1">
        <f>'All Periods'!E74</f>
        <v>0</v>
      </c>
      <c r="E63" s="3">
        <f>'All Periods'!F74</f>
        <v>0</v>
      </c>
      <c r="F63" s="3">
        <f>Forecast2!F74+Forecast3!F74+Forecast4!F74+Forecast5!F74+Forecast6!F74+Forecast7!F74</f>
        <v>0</v>
      </c>
      <c r="G63" s="2" t="b">
        <f t="shared" si="1"/>
        <v>1</v>
      </c>
    </row>
    <row r="64" spans="4:7">
      <c r="D64" s="1">
        <f>'All Periods'!E75</f>
        <v>0</v>
      </c>
      <c r="E64" s="3">
        <f>'All Periods'!F75</f>
        <v>0</v>
      </c>
      <c r="F64" s="3">
        <f>Forecast2!F75+Forecast3!F75+Forecast4!F75+Forecast5!F75+Forecast6!F75+Forecast7!F75</f>
        <v>0</v>
      </c>
      <c r="G64" s="2" t="b">
        <f t="shared" si="1"/>
        <v>1</v>
      </c>
    </row>
    <row r="65" spans="4:7">
      <c r="D65" s="1">
        <f>'All Periods'!E76</f>
        <v>0</v>
      </c>
      <c r="E65" s="3">
        <f>'All Periods'!F76</f>
        <v>0</v>
      </c>
      <c r="F65" s="3">
        <f>Forecast2!F76+Forecast3!F76+Forecast4!F76+Forecast5!F76+Forecast6!F76+Forecast7!F76</f>
        <v>0</v>
      </c>
      <c r="G65" s="2" t="b">
        <f t="shared" si="1"/>
        <v>1</v>
      </c>
    </row>
    <row r="66" spans="4:7">
      <c r="D66" s="1">
        <f>'All Periods'!E77</f>
        <v>0</v>
      </c>
      <c r="E66" s="3">
        <f>'All Periods'!F77</f>
        <v>0</v>
      </c>
      <c r="F66" s="3">
        <f>Forecast2!F77+Forecast3!F77+Forecast4!F77+Forecast5!F77+Forecast6!F77+Forecast7!F77</f>
        <v>0</v>
      </c>
      <c r="G66" s="2" t="b">
        <f t="shared" si="1"/>
        <v>1</v>
      </c>
    </row>
    <row r="67" spans="4:7">
      <c r="D67" s="1">
        <f>'All Periods'!E78</f>
        <v>0</v>
      </c>
      <c r="E67" s="3">
        <f>'All Periods'!F78</f>
        <v>0</v>
      </c>
      <c r="F67" s="3">
        <f>Forecast2!F78+Forecast3!F78+Forecast4!F78+Forecast5!F78+Forecast6!F78+Forecast7!F78</f>
        <v>0</v>
      </c>
      <c r="G67" s="2" t="b">
        <f t="shared" si="1"/>
        <v>1</v>
      </c>
    </row>
    <row r="68" spans="4:7">
      <c r="D68" s="1">
        <f>'All Periods'!E79</f>
        <v>0</v>
      </c>
      <c r="E68" s="3">
        <f>'All Periods'!F79</f>
        <v>0</v>
      </c>
      <c r="F68" s="3">
        <f>Forecast2!F79+Forecast3!F79+Forecast4!F79+Forecast5!F79+Forecast6!F79+Forecast7!F79</f>
        <v>0</v>
      </c>
      <c r="G68" s="2" t="b">
        <f t="shared" si="1"/>
        <v>1</v>
      </c>
    </row>
    <row r="69" spans="4:7">
      <c r="D69" s="1">
        <f>'All Periods'!E80</f>
        <v>0</v>
      </c>
      <c r="E69" s="3">
        <f>'All Periods'!F80</f>
        <v>0</v>
      </c>
      <c r="F69" s="3">
        <f>Forecast2!F80+Forecast3!F80+Forecast4!F80+Forecast5!F80+Forecast6!F80+Forecast7!F80</f>
        <v>0</v>
      </c>
      <c r="G69" s="2" t="b">
        <f t="shared" si="1"/>
        <v>1</v>
      </c>
    </row>
    <row r="70" spans="4:7">
      <c r="D70" s="1">
        <f>'All Periods'!E81</f>
        <v>0</v>
      </c>
      <c r="E70" s="3">
        <f>'All Periods'!F81</f>
        <v>0</v>
      </c>
      <c r="F70" s="3">
        <f>Forecast2!F81+Forecast3!F81+Forecast4!F81+Forecast5!F81+Forecast6!F81+Forecast7!F81</f>
        <v>0</v>
      </c>
      <c r="G70" s="2" t="b">
        <f t="shared" si="1"/>
        <v>1</v>
      </c>
    </row>
    <row r="71" spans="4:7">
      <c r="D71" s="1">
        <f>'All Periods'!E82</f>
        <v>0</v>
      </c>
      <c r="E71" s="3">
        <f>'All Periods'!F82</f>
        <v>0</v>
      </c>
      <c r="F71" s="3">
        <f>Forecast2!F82+Forecast3!F82+Forecast4!F82+Forecast5!F82+Forecast6!F82+Forecast7!F82</f>
        <v>0</v>
      </c>
      <c r="G71" s="2" t="b">
        <f t="shared" si="1"/>
        <v>1</v>
      </c>
    </row>
    <row r="72" spans="4:7">
      <c r="D72" s="1">
        <f>'All Periods'!E83</f>
        <v>0</v>
      </c>
      <c r="E72" s="3">
        <f>'All Periods'!F83</f>
        <v>0</v>
      </c>
      <c r="F72" s="3">
        <f>Forecast2!F83+Forecast3!F83+Forecast4!F83+Forecast5!F83+Forecast6!F83+Forecast7!F83</f>
        <v>0</v>
      </c>
      <c r="G72" s="2" t="b">
        <f t="shared" si="1"/>
        <v>1</v>
      </c>
    </row>
    <row r="73" spans="4:7">
      <c r="D73" s="1">
        <f>'All Periods'!E84</f>
        <v>0</v>
      </c>
      <c r="E73" s="3">
        <f>'All Periods'!F84</f>
        <v>0</v>
      </c>
      <c r="F73" s="3">
        <f>Forecast2!F84+Forecast3!F84+Forecast4!F84+Forecast5!F84+Forecast6!F84+Forecast7!F84</f>
        <v>0</v>
      </c>
      <c r="G73" s="2" t="b">
        <f t="shared" si="1"/>
        <v>1</v>
      </c>
    </row>
    <row r="74" spans="4:7">
      <c r="D74" s="1">
        <f>'All Periods'!E85</f>
        <v>0</v>
      </c>
      <c r="E74" s="3">
        <f>'All Periods'!F85</f>
        <v>0</v>
      </c>
      <c r="F74" s="3">
        <f>Forecast2!F85+Forecast3!F85+Forecast4!F85+Forecast5!F85+Forecast6!F85+Forecast7!F85</f>
        <v>0</v>
      </c>
      <c r="G74" s="2" t="b">
        <f t="shared" ref="G74:G128" si="3">F74=E74</f>
        <v>1</v>
      </c>
    </row>
    <row r="75" spans="4:7">
      <c r="D75" s="1">
        <f>'All Periods'!E86</f>
        <v>0</v>
      </c>
      <c r="E75" s="3">
        <f>'All Periods'!F86</f>
        <v>0</v>
      </c>
      <c r="F75" s="3">
        <f>Forecast2!F86+Forecast3!F86+Forecast4!F86+Forecast5!F86+Forecast6!F86+Forecast7!F86</f>
        <v>0</v>
      </c>
      <c r="G75" s="2" t="b">
        <f t="shared" si="3"/>
        <v>1</v>
      </c>
    </row>
    <row r="76" spans="4:7">
      <c r="D76" s="1">
        <f>'All Periods'!E87</f>
        <v>0</v>
      </c>
      <c r="E76" s="3">
        <f>'All Periods'!F87</f>
        <v>0</v>
      </c>
      <c r="F76" s="3">
        <f>Forecast2!F87+Forecast3!F87+Forecast4!F87+Forecast5!F87+Forecast6!F87+Forecast7!F87</f>
        <v>0</v>
      </c>
      <c r="G76" s="2" t="b">
        <f t="shared" si="3"/>
        <v>1</v>
      </c>
    </row>
    <row r="77" spans="4:7">
      <c r="D77" s="1">
        <f>'All Periods'!E88</f>
        <v>0</v>
      </c>
      <c r="E77" s="3">
        <f>'All Periods'!F88</f>
        <v>0</v>
      </c>
      <c r="F77" s="3">
        <f>Forecast2!F88+Forecast3!F88+Forecast4!F88+Forecast5!F88+Forecast6!F88+Forecast7!F88</f>
        <v>0</v>
      </c>
      <c r="G77" s="2" t="b">
        <f t="shared" si="3"/>
        <v>1</v>
      </c>
    </row>
    <row r="78" spans="4:7">
      <c r="D78" s="1">
        <f>'All Periods'!E89</f>
        <v>0</v>
      </c>
      <c r="E78" s="3">
        <f>'All Periods'!F89</f>
        <v>0</v>
      </c>
      <c r="F78" s="3">
        <f>Forecast2!F89+Forecast3!F89+Forecast4!F89+Forecast5!F89+Forecast6!F89+Forecast7!F89</f>
        <v>0</v>
      </c>
      <c r="G78" s="2" t="b">
        <f t="shared" si="3"/>
        <v>1</v>
      </c>
    </row>
    <row r="79" spans="4:7">
      <c r="D79" s="1">
        <f>'All Periods'!E90</f>
        <v>0</v>
      </c>
      <c r="E79" s="3">
        <f>'All Periods'!F90</f>
        <v>0</v>
      </c>
      <c r="F79" s="3">
        <f>Forecast2!F90+Forecast3!F90+Forecast4!F90+Forecast5!F90+Forecast6!F90+Forecast7!F90</f>
        <v>0</v>
      </c>
      <c r="G79" s="2" t="b">
        <f t="shared" si="3"/>
        <v>1</v>
      </c>
    </row>
    <row r="80" spans="4:7">
      <c r="D80" s="1">
        <f>'All Periods'!E91</f>
        <v>0</v>
      </c>
      <c r="E80" s="3">
        <f>'All Periods'!F91</f>
        <v>0</v>
      </c>
      <c r="F80" s="3">
        <f>Forecast2!F91+Forecast3!F91+Forecast4!F91+Forecast5!F91+Forecast6!F91+Forecast7!F91</f>
        <v>0</v>
      </c>
      <c r="G80" s="2" t="b">
        <f t="shared" si="3"/>
        <v>1</v>
      </c>
    </row>
    <row r="81" spans="4:7">
      <c r="D81" s="1">
        <f>'All Periods'!E92</f>
        <v>0</v>
      </c>
      <c r="E81" s="3">
        <f>'All Periods'!F92</f>
        <v>0</v>
      </c>
      <c r="F81" s="3">
        <f>Forecast2!F92+Forecast3!F92+Forecast4!F92+Forecast5!F92+Forecast6!F92+Forecast7!F92</f>
        <v>0</v>
      </c>
      <c r="G81" s="2" t="b">
        <f t="shared" si="3"/>
        <v>1</v>
      </c>
    </row>
    <row r="82" spans="4:7">
      <c r="D82" s="1">
        <f>'All Periods'!E93</f>
        <v>0</v>
      </c>
      <c r="E82" s="3">
        <f>'All Periods'!F93</f>
        <v>0</v>
      </c>
      <c r="F82" s="3">
        <f>Forecast2!F93+Forecast3!F93+Forecast4!F93+Forecast5!F93+Forecast6!F93+Forecast7!F93</f>
        <v>0</v>
      </c>
      <c r="G82" s="2" t="b">
        <f t="shared" si="3"/>
        <v>1</v>
      </c>
    </row>
    <row r="83" spans="4:7">
      <c r="D83" s="1">
        <f>'All Periods'!E94</f>
        <v>0</v>
      </c>
      <c r="E83" s="3">
        <f>'All Periods'!F94</f>
        <v>0</v>
      </c>
      <c r="F83" s="3">
        <f>Forecast2!F94+Forecast3!F94+Forecast4!F94+Forecast5!F94+Forecast6!F94+Forecast7!F94</f>
        <v>0</v>
      </c>
      <c r="G83" s="2" t="b">
        <f t="shared" si="3"/>
        <v>1</v>
      </c>
    </row>
    <row r="84" spans="4:7">
      <c r="D84" s="1">
        <f>'All Periods'!E95</f>
        <v>0</v>
      </c>
      <c r="E84" s="3">
        <f>'All Periods'!F95</f>
        <v>0</v>
      </c>
      <c r="F84" s="3">
        <f>Forecast2!F95+Forecast3!F95+Forecast4!F95+Forecast5!F95+Forecast6!F95+Forecast7!F95</f>
        <v>0</v>
      </c>
      <c r="G84" s="2" t="b">
        <f t="shared" si="3"/>
        <v>1</v>
      </c>
    </row>
    <row r="85" spans="4:7">
      <c r="D85" s="1">
        <f>'All Periods'!E96</f>
        <v>0</v>
      </c>
      <c r="E85" s="3">
        <f>'All Periods'!F96</f>
        <v>0</v>
      </c>
      <c r="F85" s="3">
        <f>Forecast2!F96+Forecast3!F96+Forecast4!F96+Forecast5!F96+Forecast6!F96+Forecast7!F96</f>
        <v>0</v>
      </c>
      <c r="G85" s="2" t="b">
        <f t="shared" si="3"/>
        <v>1</v>
      </c>
    </row>
    <row r="86" spans="4:7">
      <c r="D86" s="1">
        <f>'All Periods'!E97</f>
        <v>0</v>
      </c>
      <c r="E86" s="3">
        <f>'All Periods'!F97</f>
        <v>0</v>
      </c>
      <c r="F86" s="3">
        <f>Forecast2!F97+Forecast3!F97+Forecast4!F97+Forecast5!F97+Forecast6!F97+Forecast7!F97</f>
        <v>0</v>
      </c>
      <c r="G86" s="2" t="b">
        <f t="shared" si="3"/>
        <v>1</v>
      </c>
    </row>
    <row r="87" spans="4:7">
      <c r="D87" s="1">
        <f>'All Periods'!E98</f>
        <v>0</v>
      </c>
      <c r="E87" s="3">
        <f>'All Periods'!F98</f>
        <v>0</v>
      </c>
      <c r="F87" s="3">
        <f>Forecast2!F98+Forecast3!F98+Forecast4!F98+Forecast5!F98+Forecast6!F98+Forecast7!F98</f>
        <v>0</v>
      </c>
      <c r="G87" s="2" t="b">
        <f t="shared" si="3"/>
        <v>1</v>
      </c>
    </row>
    <row r="88" spans="4:7">
      <c r="D88" s="1">
        <f>'All Periods'!E99</f>
        <v>0</v>
      </c>
      <c r="E88" s="3">
        <f>'All Periods'!F99</f>
        <v>0</v>
      </c>
      <c r="F88" s="3">
        <f>Forecast2!F99+Forecast3!F99+Forecast4!F99+Forecast5!F99+Forecast6!F99+Forecast7!F99</f>
        <v>0</v>
      </c>
      <c r="G88" s="2" t="b">
        <f t="shared" si="3"/>
        <v>1</v>
      </c>
    </row>
    <row r="89" spans="4:7">
      <c r="D89" s="1">
        <f>'All Periods'!E100</f>
        <v>0</v>
      </c>
      <c r="E89" s="3">
        <f>'All Periods'!F100</f>
        <v>0</v>
      </c>
      <c r="F89" s="3">
        <f>Forecast2!F100+Forecast3!F100+Forecast4!F100+Forecast5!F100+Forecast6!F100+Forecast7!F100</f>
        <v>0</v>
      </c>
      <c r="G89" s="2" t="b">
        <f t="shared" si="3"/>
        <v>1</v>
      </c>
    </row>
    <row r="90" spans="4:7">
      <c r="D90" s="1">
        <f>'All Periods'!E101</f>
        <v>0</v>
      </c>
      <c r="E90" s="3">
        <f>'All Periods'!F101</f>
        <v>0</v>
      </c>
      <c r="F90" s="3">
        <f>Forecast2!F101+Forecast3!F101+Forecast4!F101+Forecast5!F101+Forecast6!F101+Forecast7!F101</f>
        <v>0</v>
      </c>
      <c r="G90" s="2" t="b">
        <f t="shared" si="3"/>
        <v>1</v>
      </c>
    </row>
    <row r="91" spans="4:7">
      <c r="D91" s="1">
        <f>'All Periods'!E102</f>
        <v>0</v>
      </c>
      <c r="E91" s="3">
        <f>'All Periods'!F102</f>
        <v>0</v>
      </c>
      <c r="F91" s="3">
        <f>Forecast2!F102+Forecast3!F102+Forecast4!F102+Forecast5!F102+Forecast6!F102+Forecast7!F102</f>
        <v>0</v>
      </c>
      <c r="G91" s="2" t="b">
        <f t="shared" si="3"/>
        <v>1</v>
      </c>
    </row>
    <row r="92" spans="4:7">
      <c r="D92" s="1">
        <f>'All Periods'!E103</f>
        <v>0</v>
      </c>
      <c r="E92" s="3">
        <f>'All Periods'!F103</f>
        <v>0</v>
      </c>
      <c r="F92" s="3">
        <f>Forecast2!F103+Forecast3!F103+Forecast4!F103+Forecast5!F103+Forecast6!F103+Forecast7!F103</f>
        <v>0</v>
      </c>
      <c r="G92" s="2" t="b">
        <f t="shared" si="3"/>
        <v>1</v>
      </c>
    </row>
    <row r="93" spans="4:7">
      <c r="D93" s="1">
        <f>'All Periods'!E104</f>
        <v>0</v>
      </c>
      <c r="E93" s="3">
        <f>'All Periods'!F104</f>
        <v>0</v>
      </c>
      <c r="F93" s="3">
        <f>Forecast2!F104+Forecast3!F104+Forecast4!F104+Forecast5!F104+Forecast6!F104+Forecast7!F104</f>
        <v>0</v>
      </c>
      <c r="G93" s="2" t="b">
        <f t="shared" si="3"/>
        <v>1</v>
      </c>
    </row>
    <row r="94" spans="4:7">
      <c r="D94" s="1">
        <f>'All Periods'!E105</f>
        <v>0</v>
      </c>
      <c r="E94" s="3">
        <f>'All Periods'!F105</f>
        <v>0</v>
      </c>
      <c r="F94" s="3">
        <f>Forecast2!F105+Forecast3!F105+Forecast4!F105+Forecast5!F105+Forecast6!F105+Forecast7!F105</f>
        <v>0</v>
      </c>
      <c r="G94" s="2" t="b">
        <f t="shared" si="3"/>
        <v>1</v>
      </c>
    </row>
    <row r="95" spans="4:7">
      <c r="D95" s="1">
        <f>'All Periods'!E106</f>
        <v>0</v>
      </c>
      <c r="E95" s="3">
        <f>'All Periods'!F106</f>
        <v>0</v>
      </c>
      <c r="F95" s="3">
        <f>Forecast2!F106+Forecast3!F106+Forecast4!F106+Forecast5!F106+Forecast6!F106+Forecast7!F106</f>
        <v>0</v>
      </c>
      <c r="G95" s="2" t="b">
        <f t="shared" si="3"/>
        <v>1</v>
      </c>
    </row>
    <row r="96" spans="4:7">
      <c r="D96" s="1">
        <f>'All Periods'!E107</f>
        <v>0</v>
      </c>
      <c r="E96" s="3">
        <f>'All Periods'!F107</f>
        <v>0</v>
      </c>
      <c r="F96" s="3">
        <f>Forecast2!F107+Forecast3!F107+Forecast4!F107+Forecast5!F107+Forecast6!F107+Forecast7!F107</f>
        <v>0</v>
      </c>
      <c r="G96" s="2" t="b">
        <f t="shared" si="3"/>
        <v>1</v>
      </c>
    </row>
    <row r="97" spans="4:7">
      <c r="D97" s="1">
        <f>'All Periods'!E108</f>
        <v>0</v>
      </c>
      <c r="E97" s="3">
        <f>'All Periods'!F108</f>
        <v>0</v>
      </c>
      <c r="F97" s="3">
        <f>Forecast2!F108+Forecast3!F108+Forecast4!F108+Forecast5!F108+Forecast6!F108+Forecast7!F108</f>
        <v>0</v>
      </c>
      <c r="G97" s="2" t="b">
        <f t="shared" si="3"/>
        <v>1</v>
      </c>
    </row>
    <row r="98" spans="4:7">
      <c r="D98" s="1">
        <f>'All Periods'!E109</f>
        <v>0</v>
      </c>
      <c r="E98" s="3">
        <f>'All Periods'!F109</f>
        <v>0</v>
      </c>
      <c r="F98" s="3">
        <f>Forecast2!F109+Forecast3!F109+Forecast4!F109+Forecast5!F109+Forecast6!F109+Forecast7!F109</f>
        <v>0</v>
      </c>
      <c r="G98" s="2" t="b">
        <f t="shared" si="3"/>
        <v>1</v>
      </c>
    </row>
    <row r="99" spans="4:7">
      <c r="D99" s="1">
        <f>'All Periods'!E110</f>
        <v>0</v>
      </c>
      <c r="E99" s="3">
        <f>'All Periods'!F110</f>
        <v>0</v>
      </c>
      <c r="F99" s="3">
        <f>Forecast2!F110+Forecast3!F110+Forecast4!F110+Forecast5!F110+Forecast6!F110+Forecast7!F110</f>
        <v>0</v>
      </c>
      <c r="G99" s="2" t="b">
        <f t="shared" si="3"/>
        <v>1</v>
      </c>
    </row>
    <row r="100" spans="4:7">
      <c r="D100" s="1">
        <f>'All Periods'!E111</f>
        <v>0</v>
      </c>
      <c r="E100" s="3">
        <f>'All Periods'!F111</f>
        <v>0</v>
      </c>
      <c r="F100" s="3">
        <f>Forecast2!F111+Forecast3!F111+Forecast4!F111+Forecast5!F111+Forecast6!F111+Forecast7!F111</f>
        <v>0</v>
      </c>
      <c r="G100" s="2" t="b">
        <f t="shared" si="3"/>
        <v>1</v>
      </c>
    </row>
    <row r="101" spans="4:7">
      <c r="D101" s="1">
        <f>'All Periods'!E112</f>
        <v>0</v>
      </c>
      <c r="E101" s="3">
        <f>'All Periods'!F112</f>
        <v>0</v>
      </c>
      <c r="F101" s="3">
        <f>Forecast2!F112+Forecast3!F112+Forecast4!F112+Forecast5!F112+Forecast6!F112+Forecast7!F112</f>
        <v>0</v>
      </c>
      <c r="G101" s="2" t="b">
        <f t="shared" si="3"/>
        <v>1</v>
      </c>
    </row>
    <row r="102" spans="4:7">
      <c r="D102" s="1">
        <f>'All Periods'!E113</f>
        <v>0</v>
      </c>
      <c r="E102" s="3">
        <f>'All Periods'!F113</f>
        <v>0</v>
      </c>
      <c r="F102" s="3">
        <f>Forecast2!F113+Forecast3!F113+Forecast4!F113+Forecast5!F113+Forecast6!F113+Forecast7!F113</f>
        <v>0</v>
      </c>
      <c r="G102" s="2" t="b">
        <f t="shared" si="3"/>
        <v>1</v>
      </c>
    </row>
    <row r="103" spans="4:7">
      <c r="D103" s="1">
        <f>'All Periods'!E114</f>
        <v>0</v>
      </c>
      <c r="E103" s="3">
        <f>'All Periods'!F114</f>
        <v>0</v>
      </c>
      <c r="F103" s="3">
        <f>Forecast2!F114+Forecast3!F114+Forecast4!F114+Forecast5!F114+Forecast6!F114+Forecast7!F114</f>
        <v>0</v>
      </c>
      <c r="G103" s="2" t="b">
        <f t="shared" si="3"/>
        <v>1</v>
      </c>
    </row>
    <row r="104" spans="4:7">
      <c r="D104" s="1">
        <f>'All Periods'!E115</f>
        <v>0</v>
      </c>
      <c r="E104" s="3">
        <f>'All Periods'!F115</f>
        <v>0</v>
      </c>
      <c r="F104" s="3">
        <f>Forecast2!F115+Forecast3!F115+Forecast4!F115+Forecast5!F115+Forecast6!F115+Forecast7!F115</f>
        <v>0</v>
      </c>
      <c r="G104" s="2" t="b">
        <f t="shared" si="3"/>
        <v>1</v>
      </c>
    </row>
    <row r="105" spans="4:7">
      <c r="D105" s="1">
        <f>'All Periods'!E116</f>
        <v>0</v>
      </c>
      <c r="E105" s="3">
        <f>'All Periods'!F116</f>
        <v>0</v>
      </c>
      <c r="F105" s="3">
        <f>Forecast2!F116+Forecast3!F116+Forecast4!F116+Forecast5!F116+Forecast6!F116+Forecast7!F116</f>
        <v>0</v>
      </c>
      <c r="G105" s="2" t="b">
        <f t="shared" si="3"/>
        <v>1</v>
      </c>
    </row>
    <row r="106" spans="4:7">
      <c r="D106" s="1" t="str">
        <f>'All Periods'!E119</f>
        <v>הוצאות תפעוליות (בארץ)</v>
      </c>
      <c r="E106" s="3">
        <f>'All Periods'!F119</f>
        <v>0</v>
      </c>
      <c r="F106" s="3">
        <f>Forecast2!F115+Forecast3!F115+Forecast4!F115+Forecast5!F115+Forecast6!F115+Forecast7!F115</f>
        <v>0</v>
      </c>
      <c r="G106" s="2" t="b">
        <f t="shared" si="3"/>
        <v>1</v>
      </c>
    </row>
    <row r="107" spans="4:7">
      <c r="D107" s="1">
        <f>'All Periods'!E120</f>
        <v>0</v>
      </c>
      <c r="E107" s="3">
        <f>'All Periods'!F120</f>
        <v>0</v>
      </c>
      <c r="F107" s="3">
        <f>Forecast2!F116+Forecast3!F116+Forecast4!F116+Forecast5!F116+Forecast6!F116+Forecast7!F116</f>
        <v>0</v>
      </c>
      <c r="G107" s="2" t="b">
        <f t="shared" si="3"/>
        <v>1</v>
      </c>
    </row>
    <row r="108" spans="4:7">
      <c r="D108" s="1" t="str">
        <f>'All Periods'!E121</f>
        <v>דיסקונט - אשראי</v>
      </c>
      <c r="E108" s="3">
        <f>'All Periods'!F121</f>
        <v>3000</v>
      </c>
      <c r="F108" s="3">
        <f>Forecast2!F117+Forecast3!F117+Forecast4!F117+Forecast5!F117+Forecast6!F117+Forecast7!F117</f>
        <v>3000</v>
      </c>
      <c r="G108" s="2" t="b">
        <f t="shared" si="3"/>
        <v>1</v>
      </c>
    </row>
    <row r="109" spans="4:7">
      <c r="D109" s="1" t="str">
        <f>'All Periods'!E122</f>
        <v>מזרחי - אשראי</v>
      </c>
      <c r="E109" s="3">
        <f>'All Periods'!F122</f>
        <v>54100</v>
      </c>
      <c r="F109" s="3">
        <f>Forecast2!F118+Forecast3!F118+Forecast4!F118+Forecast5!F118+Forecast6!F118+Forecast7!F118</f>
        <v>54100</v>
      </c>
      <c r="G109" s="2" t="b">
        <f t="shared" si="3"/>
        <v>1</v>
      </c>
    </row>
    <row r="110" spans="4:7">
      <c r="D110" s="1">
        <f>'All Periods'!E123</f>
        <v>0</v>
      </c>
      <c r="E110" s="3">
        <f>'All Periods'!F123</f>
        <v>0</v>
      </c>
      <c r="F110" s="3">
        <f>Forecast2!F119+Forecast3!F119+Forecast4!F119+Forecast5!F119+Forecast6!F119+Forecast7!F119</f>
        <v>0</v>
      </c>
      <c r="G110" s="2" t="b">
        <f t="shared" si="3"/>
        <v>1</v>
      </c>
    </row>
    <row r="111" spans="4:7">
      <c r="D111" s="1">
        <f>'All Periods'!E124</f>
        <v>0</v>
      </c>
      <c r="E111" s="3">
        <f>'All Periods'!F124</f>
        <v>0</v>
      </c>
      <c r="F111" s="3">
        <f>Forecast2!F120+Forecast3!F120+Forecast4!F120+Forecast5!F120+Forecast6!F120+Forecast7!F120</f>
        <v>0</v>
      </c>
      <c r="G111" s="2" t="b">
        <f t="shared" si="3"/>
        <v>1</v>
      </c>
    </row>
    <row r="112" spans="4:7">
      <c r="D112" s="1" t="str">
        <f>'All Periods'!E125</f>
        <v>הוצאות תפעוליות (חו"ל)</v>
      </c>
      <c r="E112" s="3">
        <f>'All Periods'!F125</f>
        <v>0</v>
      </c>
      <c r="F112" s="3">
        <f>Forecast2!F121+Forecast3!F121+Forecast4!F121+Forecast5!F121+Forecast6!F121+Forecast7!F121</f>
        <v>0</v>
      </c>
      <c r="G112" s="2" t="b">
        <f t="shared" si="3"/>
        <v>1</v>
      </c>
    </row>
    <row r="113" spans="4:8">
      <c r="D113" s="1" t="str">
        <f>'All Periods'!E126</f>
        <v>מעמ אירופה</v>
      </c>
      <c r="E113" s="3">
        <f>'All Periods'!F126</f>
        <v>26220</v>
      </c>
      <c r="F113" s="3">
        <f>Forecast2!F122+Forecast3!F122+Forecast4!F122+Forecast5!F122+Forecast6!F122+Forecast7!F122</f>
        <v>26220</v>
      </c>
      <c r="G113" s="2" t="b">
        <f t="shared" si="3"/>
        <v>1</v>
      </c>
    </row>
    <row r="114" spans="4:8">
      <c r="D114" s="1">
        <f>'All Periods'!E127</f>
        <v>0</v>
      </c>
      <c r="E114" s="3">
        <f>'All Periods'!F127</f>
        <v>0</v>
      </c>
      <c r="F114" s="3">
        <f>Forecast2!F123+Forecast3!F123+Forecast4!F123+Forecast5!F123+Forecast6!F123+Forecast7!F123</f>
        <v>0</v>
      </c>
      <c r="G114" s="2" t="b">
        <f t="shared" si="3"/>
        <v>1</v>
      </c>
    </row>
    <row r="115" spans="4:8">
      <c r="D115" s="1">
        <f>'All Periods'!E128</f>
        <v>0</v>
      </c>
      <c r="E115" s="3">
        <f>'All Periods'!F128</f>
        <v>0</v>
      </c>
      <c r="F115" s="3">
        <f>Forecast2!F124+Forecast3!F124+Forecast4!F124+Forecast5!F124+Forecast6!F124+Forecast7!F124</f>
        <v>0</v>
      </c>
      <c r="G115" s="2" t="b">
        <f t="shared" si="3"/>
        <v>1</v>
      </c>
    </row>
    <row r="116" spans="4:8">
      <c r="D116" s="1">
        <f>'All Periods'!E129</f>
        <v>0</v>
      </c>
      <c r="E116" s="3">
        <f>'All Periods'!F129</f>
        <v>0</v>
      </c>
      <c r="F116" s="3">
        <f>Forecast2!F125+Forecast3!F125+Forecast4!F125+Forecast5!F125+Forecast6!F125+Forecast7!F125</f>
        <v>0</v>
      </c>
      <c r="G116" s="2" t="b">
        <f t="shared" si="3"/>
        <v>1</v>
      </c>
    </row>
    <row r="117" spans="4:8">
      <c r="D117" s="1">
        <f>'All Periods'!E130</f>
        <v>0</v>
      </c>
      <c r="E117" s="3">
        <f>'All Periods'!F130</f>
        <v>0</v>
      </c>
      <c r="F117" s="3">
        <f>Forecast2!F126+Forecast3!F126+Forecast4!F126+Forecast5!F126+Forecast6!F126+Forecast7!F126</f>
        <v>0</v>
      </c>
      <c r="G117" s="2" t="b">
        <f t="shared" si="3"/>
        <v>1</v>
      </c>
    </row>
    <row r="118" spans="4:8">
      <c r="D118" s="1">
        <f>'All Periods'!E131</f>
        <v>0</v>
      </c>
      <c r="E118" s="3">
        <f>'All Periods'!F131</f>
        <v>0</v>
      </c>
      <c r="F118" s="3">
        <f>Forecast2!F127+Forecast3!F127+Forecast4!F127+Forecast5!F127+Forecast6!F127+Forecast7!F127</f>
        <v>0</v>
      </c>
      <c r="G118" s="2" t="b">
        <f t="shared" si="3"/>
        <v>1</v>
      </c>
    </row>
    <row r="119" spans="4:8">
      <c r="D119" s="1">
        <f>'All Periods'!E132</f>
        <v>0</v>
      </c>
      <c r="E119" s="3">
        <f>'All Periods'!F132</f>
        <v>0</v>
      </c>
      <c r="F119" s="3">
        <f>Forecast2!F128+Forecast3!F128+Forecast4!F128+Forecast5!F128+Forecast6!F128+Forecast7!F128</f>
        <v>0</v>
      </c>
      <c r="G119" s="2" t="b">
        <f t="shared" si="3"/>
        <v>1</v>
      </c>
    </row>
    <row r="120" spans="4:8">
      <c r="D120" s="1">
        <f>'All Periods'!E133</f>
        <v>0</v>
      </c>
      <c r="E120" s="3">
        <f>'All Periods'!F133</f>
        <v>0</v>
      </c>
      <c r="F120" s="3">
        <f>Forecast2!F129+Forecast3!F129+Forecast4!F129+Forecast5!F129+Forecast6!F129+Forecast7!F129</f>
        <v>0</v>
      </c>
      <c r="G120" s="2" t="b">
        <f t="shared" si="3"/>
        <v>1</v>
      </c>
    </row>
    <row r="121" spans="4:8">
      <c r="D121" s="1">
        <f>'All Periods'!E134</f>
        <v>0</v>
      </c>
      <c r="E121" s="3">
        <f>'All Periods'!F134</f>
        <v>0</v>
      </c>
      <c r="F121" s="3">
        <f>Forecast2!F130+Forecast3!F130+Forecast4!F130+Forecast5!F130+Forecast6!F130+Forecast7!F130</f>
        <v>0</v>
      </c>
      <c r="G121" s="2" t="b">
        <f t="shared" si="3"/>
        <v>1</v>
      </c>
    </row>
    <row r="122" spans="4:8">
      <c r="D122" s="1">
        <f>'All Periods'!E135</f>
        <v>0</v>
      </c>
      <c r="E122" s="3">
        <f>'All Periods'!F135</f>
        <v>0</v>
      </c>
      <c r="F122" s="3">
        <f>Forecast2!F131+Forecast3!F131+Forecast4!F131+Forecast5!F131+Forecast6!F131+Forecast7!F131</f>
        <v>0</v>
      </c>
      <c r="G122" s="2" t="b">
        <f t="shared" si="3"/>
        <v>1</v>
      </c>
    </row>
    <row r="123" spans="4:8">
      <c r="D123" s="1">
        <f>'All Periods'!E136</f>
        <v>0</v>
      </c>
      <c r="E123" s="3">
        <f>'All Periods'!F136</f>
        <v>0</v>
      </c>
      <c r="F123" s="3">
        <f>Forecast2!F132+Forecast3!F132+Forecast4!F132+Forecast5!F132+Forecast6!F132+Forecast7!F132</f>
        <v>0</v>
      </c>
      <c r="G123" s="2" t="b">
        <f t="shared" si="3"/>
        <v>1</v>
      </c>
    </row>
    <row r="124" spans="4:8">
      <c r="D124" s="1">
        <f>'All Periods'!E137</f>
        <v>0</v>
      </c>
      <c r="E124" s="3">
        <f>'All Periods'!F137</f>
        <v>0</v>
      </c>
      <c r="F124" s="3">
        <f>Forecast2!F133+Forecast3!F133+Forecast4!F133+Forecast5!F133+Forecast6!F133+Forecast7!F133</f>
        <v>0</v>
      </c>
      <c r="G124" s="2" t="b">
        <f t="shared" si="3"/>
        <v>1</v>
      </c>
    </row>
    <row r="125" spans="4:8">
      <c r="D125" s="1">
        <f>'All Periods'!E138</f>
        <v>0</v>
      </c>
      <c r="E125" s="3">
        <f>'All Periods'!F138</f>
        <v>0</v>
      </c>
      <c r="F125" s="3">
        <f>Forecast2!F134+Forecast3!F134+Forecast4!F134+Forecast5!F134+Forecast6!F134+Forecast7!F134</f>
        <v>0</v>
      </c>
      <c r="G125" s="2" t="b">
        <f t="shared" si="3"/>
        <v>1</v>
      </c>
    </row>
    <row r="126" spans="4:8">
      <c r="D126" s="1" t="str">
        <f>'All Periods'!E139</f>
        <v>סה"כ שימושים</v>
      </c>
      <c r="E126" s="3">
        <f>'All Periods'!F139</f>
        <v>1761710</v>
      </c>
      <c r="F126" s="3">
        <f>Forecast2!F135+Forecast3!F135+Forecast4!F135+Forecast5!F135+Forecast6!F135+Forecast7!F135</f>
        <v>1761710</v>
      </c>
      <c r="G126" s="2" t="b">
        <f>F126=E126</f>
        <v>1</v>
      </c>
      <c r="H126">
        <f>F126-E126</f>
        <v>0</v>
      </c>
    </row>
    <row r="127" spans="4:8">
      <c r="D127" s="1">
        <f>'All Periods'!E140</f>
        <v>0</v>
      </c>
      <c r="E127" s="3">
        <f>'All Periods'!F140</f>
        <v>0</v>
      </c>
      <c r="F127" s="3">
        <f>Forecast2!F136+Forecast3!F136+Forecast4!F136+Forecast5!F136+Forecast6!F136+Forecast7!F136</f>
        <v>0</v>
      </c>
      <c r="G127" s="2" t="b">
        <f t="shared" si="3"/>
        <v>1</v>
      </c>
    </row>
    <row r="128" spans="4:8">
      <c r="D128" s="1">
        <f>'All Periods'!E141</f>
        <v>0</v>
      </c>
      <c r="E128" s="3">
        <f>'All Periods'!F141</f>
        <v>0</v>
      </c>
      <c r="F128" s="3">
        <f>Forecast2!F137+Forecast3!F137+Forecast4!F137+Forecast5!F137+Forecast6!F137+Forecast7!F137</f>
        <v>0</v>
      </c>
      <c r="G128" s="2" t="b">
        <f t="shared" si="3"/>
        <v>1</v>
      </c>
      <c r="H128">
        <f>F128-E128</f>
        <v>0</v>
      </c>
    </row>
  </sheetData>
  <conditionalFormatting sqref="G1:G1048576">
    <cfRule type="cellIs" dxfId="101" priority="1" operator="equal">
      <formula>FALSE</formula>
    </cfRule>
    <cfRule type="expression" dxfId="100" priority="2">
      <formula>FALSE</formula>
    </cfRule>
    <cfRule type="colorScale" priority="3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97"/>
  <sheetViews>
    <sheetView workbookViewId="0">
      <selection activeCell="D204" sqref="D204"/>
    </sheetView>
  </sheetViews>
  <sheetFormatPr defaultRowHeight="15"/>
  <cols>
    <col min="1" max="1" width="8.42578125" style="2" bestFit="1" customWidth="1"/>
    <col min="2" max="2" width="28.42578125" style="2" bestFit="1" customWidth="1"/>
    <col min="3" max="4" width="17.5703125" style="2" bestFit="1" customWidth="1"/>
    <col min="5" max="5" width="14.7109375" style="2" bestFit="1" customWidth="1"/>
    <col min="6" max="6" width="18.7109375" bestFit="1" customWidth="1"/>
    <col min="7" max="7" width="16.140625" style="2" bestFit="1" customWidth="1"/>
    <col min="8" max="8" width="16" style="2" bestFit="1" customWidth="1"/>
    <col min="9" max="9" width="24.85546875" bestFit="1" customWidth="1"/>
    <col min="10" max="11" width="15.28515625" bestFit="1" customWidth="1"/>
    <col min="12" max="12" width="14.42578125" bestFit="1" customWidth="1"/>
    <col min="13" max="13" width="17.5703125" bestFit="1" customWidth="1"/>
  </cols>
  <sheetData>
    <row r="1" spans="1:8">
      <c r="A1" s="159" t="s">
        <v>50</v>
      </c>
      <c r="B1" s="159" t="s">
        <v>44</v>
      </c>
      <c r="C1" s="159" t="s">
        <v>49</v>
      </c>
      <c r="D1" s="159" t="s">
        <v>45</v>
      </c>
      <c r="E1" s="159" t="s">
        <v>60</v>
      </c>
      <c r="F1" s="165" t="s">
        <v>48</v>
      </c>
      <c r="G1" s="165" t="s">
        <v>161</v>
      </c>
      <c r="H1" s="165" t="s">
        <v>162</v>
      </c>
    </row>
    <row r="2" spans="1:8">
      <c r="A2" s="166">
        <v>42032</v>
      </c>
      <c r="B2" s="159" t="s">
        <v>33</v>
      </c>
      <c r="C2" s="159" t="s">
        <v>6</v>
      </c>
      <c r="D2" s="159" t="s">
        <v>6</v>
      </c>
      <c r="E2" s="159">
        <v>5000</v>
      </c>
      <c r="F2" s="159" t="s">
        <v>53</v>
      </c>
      <c r="G2" s="159">
        <v>1298.7012987012986</v>
      </c>
      <c r="H2" s="159">
        <v>1144.1647597254005</v>
      </c>
    </row>
    <row r="3" spans="1:8">
      <c r="A3" s="166">
        <v>42063</v>
      </c>
      <c r="B3" s="159" t="s">
        <v>33</v>
      </c>
      <c r="C3" s="159" t="s">
        <v>6</v>
      </c>
      <c r="D3" s="159" t="s">
        <v>6</v>
      </c>
      <c r="E3" s="159">
        <v>5000</v>
      </c>
      <c r="F3" s="159" t="s">
        <v>53</v>
      </c>
      <c r="G3" s="159">
        <v>1298.7012987012986</v>
      </c>
      <c r="H3" s="159">
        <v>1144.1647597254005</v>
      </c>
    </row>
    <row r="4" spans="1:8">
      <c r="A4" s="166">
        <v>42091</v>
      </c>
      <c r="B4" s="159" t="s">
        <v>33</v>
      </c>
      <c r="C4" s="159" t="s">
        <v>6</v>
      </c>
      <c r="D4" s="159" t="s">
        <v>6</v>
      </c>
      <c r="E4" s="159">
        <v>5000</v>
      </c>
      <c r="F4" s="159" t="s">
        <v>53</v>
      </c>
      <c r="G4" s="159">
        <v>1298.7012987012986</v>
      </c>
      <c r="H4" s="159">
        <v>1144.1647597254005</v>
      </c>
    </row>
    <row r="5" spans="1:8">
      <c r="A5" s="166">
        <v>42122</v>
      </c>
      <c r="B5" s="159" t="s">
        <v>33</v>
      </c>
      <c r="C5" s="159" t="s">
        <v>6</v>
      </c>
      <c r="D5" s="159" t="s">
        <v>6</v>
      </c>
      <c r="E5" s="159">
        <v>5000</v>
      </c>
      <c r="F5" s="159" t="s">
        <v>53</v>
      </c>
      <c r="G5" s="159">
        <v>1298.7012987012986</v>
      </c>
      <c r="H5" s="159">
        <v>1144.1647597254005</v>
      </c>
    </row>
    <row r="6" spans="1:8">
      <c r="A6" s="166">
        <v>42152</v>
      </c>
      <c r="B6" s="159" t="s">
        <v>33</v>
      </c>
      <c r="C6" s="159" t="s">
        <v>6</v>
      </c>
      <c r="D6" s="159" t="s">
        <v>6</v>
      </c>
      <c r="E6" s="159">
        <v>5000</v>
      </c>
      <c r="F6" s="159" t="s">
        <v>53</v>
      </c>
      <c r="G6" s="159">
        <v>1298.7012987012986</v>
      </c>
      <c r="H6" s="159">
        <v>1144.1647597254005</v>
      </c>
    </row>
    <row r="7" spans="1:8">
      <c r="A7" s="166">
        <v>42183</v>
      </c>
      <c r="B7" s="159" t="s">
        <v>33</v>
      </c>
      <c r="C7" s="159" t="s">
        <v>6</v>
      </c>
      <c r="D7" s="159" t="s">
        <v>6</v>
      </c>
      <c r="E7" s="159">
        <v>5000</v>
      </c>
      <c r="F7" s="159" t="s">
        <v>53</v>
      </c>
      <c r="G7" s="159">
        <v>1298.7012987012986</v>
      </c>
      <c r="H7" s="159">
        <v>1144.1647597254005</v>
      </c>
    </row>
    <row r="8" spans="1:8">
      <c r="A8" s="166">
        <v>42213</v>
      </c>
      <c r="B8" s="159" t="s">
        <v>33</v>
      </c>
      <c r="C8" s="159" t="s">
        <v>6</v>
      </c>
      <c r="D8" s="159" t="s">
        <v>6</v>
      </c>
      <c r="E8" s="159">
        <v>5000</v>
      </c>
      <c r="F8" s="159" t="s">
        <v>53</v>
      </c>
      <c r="G8" s="159">
        <v>1298.7012987012986</v>
      </c>
      <c r="H8" s="159">
        <v>1144.1647597254005</v>
      </c>
    </row>
    <row r="9" spans="1:8">
      <c r="A9" s="166">
        <v>42244</v>
      </c>
      <c r="B9" s="159" t="s">
        <v>33</v>
      </c>
      <c r="C9" s="159" t="s">
        <v>6</v>
      </c>
      <c r="D9" s="159" t="s">
        <v>6</v>
      </c>
      <c r="E9" s="159">
        <v>5000</v>
      </c>
      <c r="F9" s="159" t="s">
        <v>53</v>
      </c>
      <c r="G9" s="159">
        <v>1298.7012987012986</v>
      </c>
      <c r="H9" s="159">
        <v>1144.1647597254005</v>
      </c>
    </row>
    <row r="10" spans="1:8">
      <c r="A10" s="166">
        <v>42275</v>
      </c>
      <c r="B10" s="159" t="s">
        <v>33</v>
      </c>
      <c r="C10" s="159" t="s">
        <v>6</v>
      </c>
      <c r="D10" s="159" t="s">
        <v>6</v>
      </c>
      <c r="E10" s="159">
        <v>5000</v>
      </c>
      <c r="F10" s="159" t="s">
        <v>53</v>
      </c>
      <c r="G10" s="159">
        <v>1298.7012987012986</v>
      </c>
      <c r="H10" s="159">
        <v>1144.1647597254005</v>
      </c>
    </row>
    <row r="11" spans="1:8">
      <c r="A11" s="166">
        <v>42305</v>
      </c>
      <c r="B11" s="159" t="s">
        <v>33</v>
      </c>
      <c r="C11" s="159" t="s">
        <v>6</v>
      </c>
      <c r="D11" s="159" t="s">
        <v>6</v>
      </c>
      <c r="E11" s="159">
        <v>5000</v>
      </c>
      <c r="F11" s="159" t="s">
        <v>53</v>
      </c>
      <c r="G11" s="159">
        <v>1298.7012987012986</v>
      </c>
      <c r="H11" s="159">
        <v>1144.1647597254005</v>
      </c>
    </row>
    <row r="12" spans="1:8">
      <c r="A12" s="166">
        <v>42336</v>
      </c>
      <c r="B12" s="159" t="s">
        <v>33</v>
      </c>
      <c r="C12" s="159" t="s">
        <v>6</v>
      </c>
      <c r="D12" s="159" t="s">
        <v>6</v>
      </c>
      <c r="E12" s="159">
        <v>5000</v>
      </c>
      <c r="F12" s="159" t="s">
        <v>53</v>
      </c>
      <c r="G12" s="159">
        <v>1298.7012987012986</v>
      </c>
      <c r="H12" s="159">
        <v>1144.1647597254005</v>
      </c>
    </row>
    <row r="13" spans="1:8">
      <c r="A13" s="166">
        <v>42366</v>
      </c>
      <c r="B13" s="159" t="s">
        <v>33</v>
      </c>
      <c r="C13" s="159" t="s">
        <v>6</v>
      </c>
      <c r="D13" s="159" t="s">
        <v>6</v>
      </c>
      <c r="E13" s="159">
        <v>5000</v>
      </c>
      <c r="F13" s="159" t="s">
        <v>53</v>
      </c>
      <c r="G13" s="159">
        <v>1298.7012987012986</v>
      </c>
      <c r="H13" s="159">
        <v>1144.1647597254005</v>
      </c>
    </row>
    <row r="14" spans="1:8">
      <c r="A14" s="166">
        <v>42029</v>
      </c>
      <c r="B14" s="159" t="s">
        <v>57</v>
      </c>
      <c r="C14" s="159" t="s">
        <v>6</v>
      </c>
      <c r="D14" s="159" t="s">
        <v>6</v>
      </c>
      <c r="E14" s="159">
        <v>8000</v>
      </c>
      <c r="F14" s="159" t="s">
        <v>52</v>
      </c>
      <c r="G14" s="159">
        <v>2077.9220779220777</v>
      </c>
      <c r="H14" s="159">
        <v>1830.6636155606407</v>
      </c>
    </row>
    <row r="15" spans="1:8">
      <c r="A15" s="166">
        <v>42060</v>
      </c>
      <c r="B15" s="159" t="s">
        <v>57</v>
      </c>
      <c r="C15" s="159" t="s">
        <v>6</v>
      </c>
      <c r="D15" s="159" t="s">
        <v>6</v>
      </c>
      <c r="E15" s="159">
        <v>8000</v>
      </c>
      <c r="F15" s="159" t="s">
        <v>52</v>
      </c>
      <c r="G15" s="159">
        <v>2077.9220779220777</v>
      </c>
      <c r="H15" s="159">
        <v>1830.6636155606407</v>
      </c>
    </row>
    <row r="16" spans="1:8">
      <c r="A16" s="166">
        <v>42088</v>
      </c>
      <c r="B16" s="159" t="s">
        <v>57</v>
      </c>
      <c r="C16" s="159" t="s">
        <v>6</v>
      </c>
      <c r="D16" s="159" t="s">
        <v>6</v>
      </c>
      <c r="E16" s="159">
        <v>8000</v>
      </c>
      <c r="F16" s="159" t="s">
        <v>52</v>
      </c>
      <c r="G16" s="159">
        <v>2077.9220779220777</v>
      </c>
      <c r="H16" s="159">
        <v>1830.6636155606407</v>
      </c>
    </row>
    <row r="17" spans="1:8">
      <c r="A17" s="166">
        <v>42119</v>
      </c>
      <c r="B17" s="159" t="s">
        <v>57</v>
      </c>
      <c r="C17" s="159" t="s">
        <v>6</v>
      </c>
      <c r="D17" s="159" t="s">
        <v>6</v>
      </c>
      <c r="E17" s="159">
        <v>8000</v>
      </c>
      <c r="F17" s="159" t="s">
        <v>52</v>
      </c>
      <c r="G17" s="159">
        <v>2077.9220779220777</v>
      </c>
      <c r="H17" s="159">
        <v>1830.6636155606407</v>
      </c>
    </row>
    <row r="18" spans="1:8">
      <c r="A18" s="166">
        <v>42149</v>
      </c>
      <c r="B18" s="159" t="s">
        <v>57</v>
      </c>
      <c r="C18" s="159" t="s">
        <v>6</v>
      </c>
      <c r="D18" s="159" t="s">
        <v>6</v>
      </c>
      <c r="E18" s="159">
        <v>8000</v>
      </c>
      <c r="F18" s="159" t="s">
        <v>52</v>
      </c>
      <c r="G18" s="159">
        <v>2077.9220779220777</v>
      </c>
      <c r="H18" s="159">
        <v>1830.6636155606407</v>
      </c>
    </row>
    <row r="19" spans="1:8">
      <c r="A19" s="166">
        <v>42180</v>
      </c>
      <c r="B19" s="159" t="s">
        <v>57</v>
      </c>
      <c r="C19" s="159" t="s">
        <v>6</v>
      </c>
      <c r="D19" s="159" t="s">
        <v>6</v>
      </c>
      <c r="E19" s="159">
        <v>8000</v>
      </c>
      <c r="F19" s="159" t="s">
        <v>52</v>
      </c>
      <c r="G19" s="159">
        <v>2077.9220779220777</v>
      </c>
      <c r="H19" s="159">
        <v>1830.6636155606407</v>
      </c>
    </row>
    <row r="20" spans="1:8">
      <c r="A20" s="166">
        <v>42210</v>
      </c>
      <c r="B20" s="159" t="s">
        <v>57</v>
      </c>
      <c r="C20" s="159" t="s">
        <v>6</v>
      </c>
      <c r="D20" s="159" t="s">
        <v>6</v>
      </c>
      <c r="E20" s="159">
        <v>8000</v>
      </c>
      <c r="F20" s="159" t="s">
        <v>52</v>
      </c>
      <c r="G20" s="159">
        <v>2077.9220779220777</v>
      </c>
      <c r="H20" s="159">
        <v>1830.6636155606407</v>
      </c>
    </row>
    <row r="21" spans="1:8">
      <c r="A21" s="166">
        <v>42241</v>
      </c>
      <c r="B21" s="159" t="s">
        <v>57</v>
      </c>
      <c r="C21" s="159" t="s">
        <v>6</v>
      </c>
      <c r="D21" s="159" t="s">
        <v>6</v>
      </c>
      <c r="E21" s="159">
        <v>8000</v>
      </c>
      <c r="F21" s="159" t="s">
        <v>52</v>
      </c>
      <c r="G21" s="159">
        <v>2077.9220779220777</v>
      </c>
      <c r="H21" s="159">
        <v>1830.6636155606407</v>
      </c>
    </row>
    <row r="22" spans="1:8">
      <c r="A22" s="166">
        <v>42272</v>
      </c>
      <c r="B22" s="159" t="s">
        <v>57</v>
      </c>
      <c r="C22" s="159" t="s">
        <v>6</v>
      </c>
      <c r="D22" s="159" t="s">
        <v>6</v>
      </c>
      <c r="E22" s="159">
        <v>8000</v>
      </c>
      <c r="F22" s="159" t="s">
        <v>52</v>
      </c>
      <c r="G22" s="159">
        <v>2077.9220779220777</v>
      </c>
      <c r="H22" s="159">
        <v>1830.6636155606407</v>
      </c>
    </row>
    <row r="23" spans="1:8">
      <c r="A23" s="166">
        <v>42302</v>
      </c>
      <c r="B23" s="159" t="s">
        <v>57</v>
      </c>
      <c r="C23" s="159" t="s">
        <v>6</v>
      </c>
      <c r="D23" s="159" t="s">
        <v>6</v>
      </c>
      <c r="E23" s="159">
        <v>8000</v>
      </c>
      <c r="F23" s="159" t="s">
        <v>52</v>
      </c>
      <c r="G23" s="159">
        <v>2077.9220779220777</v>
      </c>
      <c r="H23" s="159">
        <v>1830.6636155606407</v>
      </c>
    </row>
    <row r="24" spans="1:8">
      <c r="A24" s="166">
        <v>42333</v>
      </c>
      <c r="B24" s="159" t="s">
        <v>57</v>
      </c>
      <c r="C24" s="159" t="s">
        <v>6</v>
      </c>
      <c r="D24" s="159" t="s">
        <v>6</v>
      </c>
      <c r="E24" s="159">
        <v>8000</v>
      </c>
      <c r="F24" s="159" t="s">
        <v>52</v>
      </c>
      <c r="G24" s="159">
        <v>2077.9220779220777</v>
      </c>
      <c r="H24" s="159">
        <v>1830.6636155606407</v>
      </c>
    </row>
    <row r="25" spans="1:8">
      <c r="A25" s="166">
        <v>42363</v>
      </c>
      <c r="B25" s="159" t="s">
        <v>57</v>
      </c>
      <c r="C25" s="159" t="s">
        <v>6</v>
      </c>
      <c r="D25" s="159" t="s">
        <v>6</v>
      </c>
      <c r="E25" s="159">
        <v>8000</v>
      </c>
      <c r="F25" s="159" t="s">
        <v>52</v>
      </c>
      <c r="G25" s="159">
        <v>2077.9220779220777</v>
      </c>
      <c r="H25" s="159">
        <v>1830.6636155606407</v>
      </c>
    </row>
    <row r="26" spans="1:8">
      <c r="A26" s="166">
        <v>42091</v>
      </c>
      <c r="B26" s="159" t="s">
        <v>74</v>
      </c>
      <c r="C26" s="159" t="s">
        <v>6</v>
      </c>
      <c r="D26" s="159" t="s">
        <v>6</v>
      </c>
      <c r="E26" s="159">
        <v>2000</v>
      </c>
      <c r="F26" s="159" t="s">
        <v>52</v>
      </c>
      <c r="G26" s="159">
        <v>519.48051948051943</v>
      </c>
      <c r="H26" s="159">
        <v>457.66590389016017</v>
      </c>
    </row>
    <row r="27" spans="1:8">
      <c r="A27" s="166">
        <v>42183</v>
      </c>
      <c r="B27" s="159" t="s">
        <v>74</v>
      </c>
      <c r="C27" s="159" t="s">
        <v>6</v>
      </c>
      <c r="D27" s="159" t="s">
        <v>6</v>
      </c>
      <c r="E27" s="159">
        <v>2000</v>
      </c>
      <c r="F27" s="159" t="s">
        <v>52</v>
      </c>
      <c r="G27" s="159">
        <v>519.48051948051943</v>
      </c>
      <c r="H27" s="159">
        <v>457.66590389016017</v>
      </c>
    </row>
    <row r="28" spans="1:8">
      <c r="A28" s="166">
        <v>42275</v>
      </c>
      <c r="B28" s="159" t="s">
        <v>74</v>
      </c>
      <c r="C28" s="159" t="s">
        <v>6</v>
      </c>
      <c r="D28" s="159" t="s">
        <v>6</v>
      </c>
      <c r="E28" s="159">
        <v>2000</v>
      </c>
      <c r="F28" s="159" t="s">
        <v>52</v>
      </c>
      <c r="G28" s="159">
        <v>519.48051948051943</v>
      </c>
      <c r="H28" s="159">
        <v>457.66590389016017</v>
      </c>
    </row>
    <row r="29" spans="1:8">
      <c r="A29" s="166">
        <v>42005</v>
      </c>
      <c r="B29" s="159" t="s">
        <v>75</v>
      </c>
      <c r="C29" s="159" t="s">
        <v>6</v>
      </c>
      <c r="D29" s="159" t="s">
        <v>6</v>
      </c>
      <c r="E29" s="159">
        <v>2000</v>
      </c>
      <c r="F29" s="159" t="s">
        <v>53</v>
      </c>
      <c r="G29" s="159">
        <v>519.48051948051943</v>
      </c>
      <c r="H29" s="159">
        <v>457.66590389016017</v>
      </c>
    </row>
    <row r="30" spans="1:8">
      <c r="A30" s="166">
        <v>42095</v>
      </c>
      <c r="B30" s="159" t="s">
        <v>75</v>
      </c>
      <c r="C30" s="159" t="s">
        <v>6</v>
      </c>
      <c r="D30" s="159" t="s">
        <v>6</v>
      </c>
      <c r="E30" s="159">
        <v>2000</v>
      </c>
      <c r="F30" s="159" t="s">
        <v>53</v>
      </c>
      <c r="G30" s="159">
        <v>519.48051948051943</v>
      </c>
      <c r="H30" s="159">
        <v>457.66590389016017</v>
      </c>
    </row>
    <row r="31" spans="1:8">
      <c r="A31" s="166">
        <v>42186</v>
      </c>
      <c r="B31" s="159" t="s">
        <v>75</v>
      </c>
      <c r="C31" s="159" t="s">
        <v>6</v>
      </c>
      <c r="D31" s="159" t="s">
        <v>6</v>
      </c>
      <c r="E31" s="159">
        <v>2000</v>
      </c>
      <c r="F31" s="159" t="s">
        <v>53</v>
      </c>
      <c r="G31" s="159">
        <v>519.48051948051943</v>
      </c>
      <c r="H31" s="159">
        <v>457.66590389016017</v>
      </c>
    </row>
    <row r="32" spans="1:8">
      <c r="A32" s="166">
        <v>42278</v>
      </c>
      <c r="B32" s="159" t="s">
        <v>75</v>
      </c>
      <c r="C32" s="159" t="s">
        <v>6</v>
      </c>
      <c r="D32" s="159" t="s">
        <v>6</v>
      </c>
      <c r="E32" s="159">
        <v>2000</v>
      </c>
      <c r="F32" s="159" t="s">
        <v>53</v>
      </c>
      <c r="G32" s="159">
        <v>519.48051948051943</v>
      </c>
      <c r="H32" s="159">
        <v>457.66590389016017</v>
      </c>
    </row>
    <row r="33" spans="1:8">
      <c r="A33" s="166">
        <v>42091</v>
      </c>
      <c r="B33" s="159" t="s">
        <v>76</v>
      </c>
      <c r="C33" s="159" t="s">
        <v>6</v>
      </c>
      <c r="D33" s="159" t="s">
        <v>6</v>
      </c>
      <c r="E33" s="159">
        <v>1000</v>
      </c>
      <c r="F33" s="159" t="s">
        <v>52</v>
      </c>
      <c r="G33" s="159">
        <v>259.74025974025972</v>
      </c>
      <c r="H33" s="159">
        <v>228.83295194508008</v>
      </c>
    </row>
    <row r="34" spans="1:8">
      <c r="A34" s="166">
        <v>42183</v>
      </c>
      <c r="B34" s="159" t="s">
        <v>76</v>
      </c>
      <c r="C34" s="159" t="s">
        <v>6</v>
      </c>
      <c r="D34" s="159" t="s">
        <v>6</v>
      </c>
      <c r="E34" s="159">
        <v>1000</v>
      </c>
      <c r="F34" s="159" t="s">
        <v>52</v>
      </c>
      <c r="G34" s="159">
        <v>259.74025974025972</v>
      </c>
      <c r="H34" s="159">
        <v>228.83295194508008</v>
      </c>
    </row>
    <row r="35" spans="1:8">
      <c r="A35" s="166">
        <v>42275</v>
      </c>
      <c r="B35" s="159" t="s">
        <v>76</v>
      </c>
      <c r="C35" s="159" t="s">
        <v>6</v>
      </c>
      <c r="D35" s="159" t="s">
        <v>6</v>
      </c>
      <c r="E35" s="159">
        <v>1000</v>
      </c>
      <c r="F35" s="159" t="s">
        <v>52</v>
      </c>
      <c r="G35" s="159">
        <v>259.74025974025972</v>
      </c>
      <c r="H35" s="159">
        <v>228.83295194508008</v>
      </c>
    </row>
    <row r="36" spans="1:8">
      <c r="A36" s="166">
        <v>42005</v>
      </c>
      <c r="B36" s="159" t="s">
        <v>77</v>
      </c>
      <c r="C36" s="159" t="s">
        <v>6</v>
      </c>
      <c r="D36" s="159" t="s">
        <v>6</v>
      </c>
      <c r="E36" s="159">
        <v>1000</v>
      </c>
      <c r="F36" s="159" t="s">
        <v>53</v>
      </c>
      <c r="G36" s="159">
        <v>259.74025974025972</v>
      </c>
      <c r="H36" s="159">
        <v>228.83295194508008</v>
      </c>
    </row>
    <row r="37" spans="1:8">
      <c r="A37" s="166">
        <v>42095</v>
      </c>
      <c r="B37" s="159" t="s">
        <v>77</v>
      </c>
      <c r="C37" s="159" t="s">
        <v>6</v>
      </c>
      <c r="D37" s="159" t="s">
        <v>6</v>
      </c>
      <c r="E37" s="159">
        <v>1000</v>
      </c>
      <c r="F37" s="159" t="s">
        <v>53</v>
      </c>
      <c r="G37" s="159">
        <v>259.74025974025972</v>
      </c>
      <c r="H37" s="159">
        <v>228.83295194508008</v>
      </c>
    </row>
    <row r="38" spans="1:8">
      <c r="A38" s="166">
        <v>42186</v>
      </c>
      <c r="B38" s="159" t="s">
        <v>77</v>
      </c>
      <c r="C38" s="159" t="s">
        <v>6</v>
      </c>
      <c r="D38" s="159" t="s">
        <v>6</v>
      </c>
      <c r="E38" s="159">
        <v>1000</v>
      </c>
      <c r="F38" s="159" t="s">
        <v>53</v>
      </c>
      <c r="G38" s="159">
        <v>259.74025974025972</v>
      </c>
      <c r="H38" s="159">
        <v>228.83295194508008</v>
      </c>
    </row>
    <row r="39" spans="1:8">
      <c r="A39" s="166">
        <v>42278</v>
      </c>
      <c r="B39" s="159" t="s">
        <v>77</v>
      </c>
      <c r="C39" s="159" t="s">
        <v>6</v>
      </c>
      <c r="D39" s="159" t="s">
        <v>6</v>
      </c>
      <c r="E39" s="159">
        <v>1000</v>
      </c>
      <c r="F39" s="159" t="s">
        <v>53</v>
      </c>
      <c r="G39" s="159">
        <v>259.74025974025972</v>
      </c>
      <c r="H39" s="159">
        <v>228.83295194508008</v>
      </c>
    </row>
    <row r="40" spans="1:8">
      <c r="A40" s="166">
        <v>42032</v>
      </c>
      <c r="B40" s="159" t="s">
        <v>110</v>
      </c>
      <c r="C40" s="159" t="s">
        <v>21</v>
      </c>
      <c r="D40" s="159" t="s">
        <v>21</v>
      </c>
      <c r="E40" s="159">
        <v>10000</v>
      </c>
      <c r="F40" s="159" t="s">
        <v>23</v>
      </c>
      <c r="G40" s="159">
        <v>2597.4025974025972</v>
      </c>
      <c r="H40" s="159">
        <v>2288.3295194508009</v>
      </c>
    </row>
    <row r="41" spans="1:8">
      <c r="A41" s="166">
        <v>42063</v>
      </c>
      <c r="B41" s="159" t="s">
        <v>110</v>
      </c>
      <c r="C41" s="159" t="s">
        <v>21</v>
      </c>
      <c r="D41" s="159" t="s">
        <v>21</v>
      </c>
      <c r="E41" s="159">
        <v>10000</v>
      </c>
      <c r="F41" s="159" t="s">
        <v>23</v>
      </c>
      <c r="G41" s="159">
        <v>2597.4025974025972</v>
      </c>
      <c r="H41" s="159">
        <v>2288.3295194508009</v>
      </c>
    </row>
    <row r="42" spans="1:8">
      <c r="A42" s="166">
        <v>42091</v>
      </c>
      <c r="B42" s="159" t="s">
        <v>110</v>
      </c>
      <c r="C42" s="159" t="s">
        <v>21</v>
      </c>
      <c r="D42" s="159" t="s">
        <v>21</v>
      </c>
      <c r="E42" s="159">
        <v>10000</v>
      </c>
      <c r="F42" s="159" t="s">
        <v>23</v>
      </c>
      <c r="G42" s="159">
        <v>2597.4025974025972</v>
      </c>
      <c r="H42" s="159">
        <v>2288.3295194508009</v>
      </c>
    </row>
    <row r="43" spans="1:8">
      <c r="A43" s="166">
        <v>42122</v>
      </c>
      <c r="B43" s="159" t="s">
        <v>110</v>
      </c>
      <c r="C43" s="159" t="s">
        <v>21</v>
      </c>
      <c r="D43" s="159" t="s">
        <v>21</v>
      </c>
      <c r="E43" s="159">
        <v>10000</v>
      </c>
      <c r="F43" s="159" t="s">
        <v>23</v>
      </c>
      <c r="G43" s="159">
        <v>2597.4025974025972</v>
      </c>
      <c r="H43" s="159">
        <v>2288.3295194508009</v>
      </c>
    </row>
    <row r="44" spans="1:8">
      <c r="A44" s="166">
        <v>42152</v>
      </c>
      <c r="B44" s="159" t="s">
        <v>110</v>
      </c>
      <c r="C44" s="159" t="s">
        <v>21</v>
      </c>
      <c r="D44" s="159" t="s">
        <v>21</v>
      </c>
      <c r="E44" s="159">
        <v>10000</v>
      </c>
      <c r="F44" s="159" t="s">
        <v>23</v>
      </c>
      <c r="G44" s="159">
        <v>2597.4025974025972</v>
      </c>
      <c r="H44" s="159">
        <v>2288.3295194508009</v>
      </c>
    </row>
    <row r="45" spans="1:8">
      <c r="A45" s="166">
        <v>42183</v>
      </c>
      <c r="B45" s="159" t="s">
        <v>110</v>
      </c>
      <c r="C45" s="159" t="s">
        <v>21</v>
      </c>
      <c r="D45" s="159" t="s">
        <v>21</v>
      </c>
      <c r="E45" s="159">
        <v>10000</v>
      </c>
      <c r="F45" s="159" t="s">
        <v>23</v>
      </c>
      <c r="G45" s="159">
        <v>2597.4025974025972</v>
      </c>
      <c r="H45" s="159">
        <v>2288.3295194508009</v>
      </c>
    </row>
    <row r="46" spans="1:8">
      <c r="A46" s="166">
        <v>42213</v>
      </c>
      <c r="B46" s="159" t="s">
        <v>110</v>
      </c>
      <c r="C46" s="159" t="s">
        <v>21</v>
      </c>
      <c r="D46" s="159" t="s">
        <v>21</v>
      </c>
      <c r="E46" s="159">
        <v>10000</v>
      </c>
      <c r="F46" s="159" t="s">
        <v>23</v>
      </c>
      <c r="G46" s="159">
        <v>2597.4025974025972</v>
      </c>
      <c r="H46" s="159">
        <v>2288.3295194508009</v>
      </c>
    </row>
    <row r="47" spans="1:8">
      <c r="A47" s="166">
        <v>42032</v>
      </c>
      <c r="B47" s="159" t="s">
        <v>111</v>
      </c>
      <c r="C47" s="159" t="s">
        <v>21</v>
      </c>
      <c r="D47" s="159" t="s">
        <v>21</v>
      </c>
      <c r="E47" s="159">
        <v>8740</v>
      </c>
      <c r="F47" s="159" t="s">
        <v>23</v>
      </c>
      <c r="G47" s="159">
        <v>2270.1298701298701</v>
      </c>
      <c r="H47" s="159">
        <v>2000</v>
      </c>
    </row>
    <row r="48" spans="1:8">
      <c r="A48" s="166">
        <v>42063</v>
      </c>
      <c r="B48" s="159" t="s">
        <v>111</v>
      </c>
      <c r="C48" s="159" t="s">
        <v>21</v>
      </c>
      <c r="D48" s="159" t="s">
        <v>21</v>
      </c>
      <c r="E48" s="159">
        <v>8740</v>
      </c>
      <c r="F48" s="159" t="s">
        <v>23</v>
      </c>
      <c r="G48" s="159">
        <v>2270.1298701298701</v>
      </c>
      <c r="H48" s="159">
        <v>2000</v>
      </c>
    </row>
    <row r="49" spans="1:8">
      <c r="A49" s="166">
        <v>42091</v>
      </c>
      <c r="B49" s="159" t="s">
        <v>111</v>
      </c>
      <c r="C49" s="159" t="s">
        <v>21</v>
      </c>
      <c r="D49" s="159" t="s">
        <v>21</v>
      </c>
      <c r="E49" s="159">
        <v>8740</v>
      </c>
      <c r="F49" s="159" t="s">
        <v>23</v>
      </c>
      <c r="G49" s="159">
        <v>2270.1298701298701</v>
      </c>
      <c r="H49" s="159">
        <v>2000</v>
      </c>
    </row>
    <row r="50" spans="1:8">
      <c r="A50" s="166">
        <v>42122</v>
      </c>
      <c r="B50" s="159" t="s">
        <v>111</v>
      </c>
      <c r="C50" s="159" t="s">
        <v>21</v>
      </c>
      <c r="D50" s="159" t="s">
        <v>21</v>
      </c>
      <c r="E50" s="159">
        <v>8740</v>
      </c>
      <c r="F50" s="159" t="s">
        <v>23</v>
      </c>
      <c r="G50" s="159">
        <v>2270.1298701298701</v>
      </c>
      <c r="H50" s="159">
        <v>2000</v>
      </c>
    </row>
    <row r="51" spans="1:8">
      <c r="A51" s="166">
        <v>42152</v>
      </c>
      <c r="B51" s="159" t="s">
        <v>111</v>
      </c>
      <c r="C51" s="159" t="s">
        <v>21</v>
      </c>
      <c r="D51" s="159" t="s">
        <v>21</v>
      </c>
      <c r="E51" s="159">
        <v>8740</v>
      </c>
      <c r="F51" s="159" t="s">
        <v>23</v>
      </c>
      <c r="G51" s="159">
        <v>2270.1298701298701</v>
      </c>
      <c r="H51" s="159">
        <v>2000</v>
      </c>
    </row>
    <row r="52" spans="1:8">
      <c r="A52" s="166">
        <v>42183</v>
      </c>
      <c r="B52" s="159" t="s">
        <v>111</v>
      </c>
      <c r="C52" s="159" t="s">
        <v>21</v>
      </c>
      <c r="D52" s="159" t="s">
        <v>21</v>
      </c>
      <c r="E52" s="159">
        <v>8740</v>
      </c>
      <c r="F52" s="159" t="s">
        <v>23</v>
      </c>
      <c r="G52" s="159">
        <v>2270.1298701298701</v>
      </c>
      <c r="H52" s="159">
        <v>2000</v>
      </c>
    </row>
    <row r="53" spans="1:8">
      <c r="A53" s="166">
        <v>42213</v>
      </c>
      <c r="B53" s="159" t="s">
        <v>111</v>
      </c>
      <c r="C53" s="159" t="s">
        <v>21</v>
      </c>
      <c r="D53" s="159" t="s">
        <v>21</v>
      </c>
      <c r="E53" s="159">
        <v>8740</v>
      </c>
      <c r="F53" s="159" t="s">
        <v>23</v>
      </c>
      <c r="G53" s="159">
        <v>2270.1298701298701</v>
      </c>
      <c r="H53" s="159">
        <v>2000</v>
      </c>
    </row>
    <row r="54" spans="1:8">
      <c r="A54" s="166">
        <v>42122</v>
      </c>
      <c r="B54" s="159" t="s">
        <v>112</v>
      </c>
      <c r="C54" s="159" t="s">
        <v>21</v>
      </c>
      <c r="D54" s="159" t="s">
        <v>21</v>
      </c>
      <c r="E54" s="159">
        <v>20000</v>
      </c>
      <c r="F54" s="159" t="s">
        <v>23</v>
      </c>
      <c r="G54" s="159">
        <v>5194.8051948051943</v>
      </c>
      <c r="H54" s="159">
        <v>4576.6590389016019</v>
      </c>
    </row>
    <row r="55" spans="1:8">
      <c r="A55" s="166">
        <v>42091</v>
      </c>
      <c r="B55" s="159" t="s">
        <v>113</v>
      </c>
      <c r="C55" s="159" t="s">
        <v>21</v>
      </c>
      <c r="D55" s="159" t="s">
        <v>21</v>
      </c>
      <c r="E55" s="159">
        <v>50000</v>
      </c>
      <c r="F55" s="159" t="s">
        <v>23</v>
      </c>
      <c r="G55" s="159">
        <v>12987.012987012986</v>
      </c>
      <c r="H55" s="159">
        <v>11441.647597254005</v>
      </c>
    </row>
    <row r="56" spans="1:8">
      <c r="A56" s="166">
        <v>42122</v>
      </c>
      <c r="B56" s="159" t="s">
        <v>113</v>
      </c>
      <c r="C56" s="159" t="s">
        <v>21</v>
      </c>
      <c r="D56" s="159" t="s">
        <v>21</v>
      </c>
      <c r="E56" s="159">
        <v>50000</v>
      </c>
      <c r="F56" s="159" t="s">
        <v>23</v>
      </c>
      <c r="G56" s="159">
        <v>12987.012987012986</v>
      </c>
      <c r="H56" s="159">
        <v>11441.647597254005</v>
      </c>
    </row>
    <row r="57" spans="1:8">
      <c r="A57" s="166">
        <v>42032</v>
      </c>
      <c r="B57" s="159" t="s">
        <v>114</v>
      </c>
      <c r="C57" s="159" t="s">
        <v>2</v>
      </c>
      <c r="D57" s="159" t="s">
        <v>2</v>
      </c>
      <c r="E57" s="159">
        <v>5000</v>
      </c>
      <c r="F57" s="159" t="s">
        <v>23</v>
      </c>
      <c r="G57" s="159">
        <v>1298.7012987012986</v>
      </c>
      <c r="H57" s="159">
        <v>1144.1647597254005</v>
      </c>
    </row>
    <row r="58" spans="1:8">
      <c r="A58" s="166">
        <v>42063</v>
      </c>
      <c r="B58" s="159" t="s">
        <v>114</v>
      </c>
      <c r="C58" s="159" t="s">
        <v>2</v>
      </c>
      <c r="D58" s="159" t="s">
        <v>2</v>
      </c>
      <c r="E58" s="159">
        <v>5000</v>
      </c>
      <c r="F58" s="159" t="s">
        <v>23</v>
      </c>
      <c r="G58" s="159">
        <v>1298.7012987012986</v>
      </c>
      <c r="H58" s="159">
        <v>1144.1647597254005</v>
      </c>
    </row>
    <row r="59" spans="1:8">
      <c r="A59" s="166">
        <v>42091</v>
      </c>
      <c r="B59" s="159" t="s">
        <v>114</v>
      </c>
      <c r="C59" s="159" t="s">
        <v>2</v>
      </c>
      <c r="D59" s="159" t="s">
        <v>2</v>
      </c>
      <c r="E59" s="159">
        <v>5000</v>
      </c>
      <c r="F59" s="159" t="s">
        <v>23</v>
      </c>
      <c r="G59" s="159">
        <v>1298.7012987012986</v>
      </c>
      <c r="H59" s="159">
        <v>1144.1647597254005</v>
      </c>
    </row>
    <row r="60" spans="1:8">
      <c r="A60" s="166">
        <v>42122</v>
      </c>
      <c r="B60" s="159" t="s">
        <v>114</v>
      </c>
      <c r="C60" s="159" t="s">
        <v>2</v>
      </c>
      <c r="D60" s="159" t="s">
        <v>2</v>
      </c>
      <c r="E60" s="159">
        <v>5000</v>
      </c>
      <c r="F60" s="159" t="s">
        <v>23</v>
      </c>
      <c r="G60" s="159">
        <v>1298.7012987012986</v>
      </c>
      <c r="H60" s="159">
        <v>1144.1647597254005</v>
      </c>
    </row>
    <row r="61" spans="1:8">
      <c r="A61" s="166">
        <v>42152</v>
      </c>
      <c r="B61" s="159" t="s">
        <v>114</v>
      </c>
      <c r="C61" s="159" t="s">
        <v>2</v>
      </c>
      <c r="D61" s="159" t="s">
        <v>2</v>
      </c>
      <c r="E61" s="159">
        <v>5000</v>
      </c>
      <c r="F61" s="159" t="s">
        <v>23</v>
      </c>
      <c r="G61" s="159">
        <v>1298.7012987012986</v>
      </c>
      <c r="H61" s="159">
        <v>1144.1647597254005</v>
      </c>
    </row>
    <row r="62" spans="1:8">
      <c r="A62" s="166">
        <v>42183</v>
      </c>
      <c r="B62" s="159" t="s">
        <v>114</v>
      </c>
      <c r="C62" s="159" t="s">
        <v>2</v>
      </c>
      <c r="D62" s="159" t="s">
        <v>2</v>
      </c>
      <c r="E62" s="159">
        <v>5000</v>
      </c>
      <c r="F62" s="159" t="s">
        <v>23</v>
      </c>
      <c r="G62" s="159">
        <v>1298.7012987012986</v>
      </c>
      <c r="H62" s="159">
        <v>1144.1647597254005</v>
      </c>
    </row>
    <row r="63" spans="1:8">
      <c r="A63" s="166">
        <v>42213</v>
      </c>
      <c r="B63" s="159" t="s">
        <v>114</v>
      </c>
      <c r="C63" s="159" t="s">
        <v>2</v>
      </c>
      <c r="D63" s="159" t="s">
        <v>2</v>
      </c>
      <c r="E63" s="159">
        <v>5000</v>
      </c>
      <c r="F63" s="159" t="s">
        <v>23</v>
      </c>
      <c r="G63" s="159">
        <v>1298.7012987012986</v>
      </c>
      <c r="H63" s="159">
        <v>1144.1647597254005</v>
      </c>
    </row>
    <row r="64" spans="1:8">
      <c r="A64" s="166">
        <v>42244</v>
      </c>
      <c r="B64" s="159" t="s">
        <v>114</v>
      </c>
      <c r="C64" s="159" t="s">
        <v>2</v>
      </c>
      <c r="D64" s="159" t="s">
        <v>2</v>
      </c>
      <c r="E64" s="159">
        <v>5000</v>
      </c>
      <c r="F64" s="159" t="s">
        <v>23</v>
      </c>
      <c r="G64" s="159">
        <v>1298.7012987012986</v>
      </c>
      <c r="H64" s="159">
        <v>1144.1647597254005</v>
      </c>
    </row>
    <row r="65" spans="1:8">
      <c r="A65" s="166">
        <v>42275</v>
      </c>
      <c r="B65" s="159" t="s">
        <v>114</v>
      </c>
      <c r="C65" s="159" t="s">
        <v>2</v>
      </c>
      <c r="D65" s="159" t="s">
        <v>2</v>
      </c>
      <c r="E65" s="159">
        <v>5000</v>
      </c>
      <c r="F65" s="159" t="s">
        <v>23</v>
      </c>
      <c r="G65" s="159">
        <v>1298.7012987012986</v>
      </c>
      <c r="H65" s="159">
        <v>1144.1647597254005</v>
      </c>
    </row>
    <row r="66" spans="1:8">
      <c r="A66" s="166">
        <v>42305</v>
      </c>
      <c r="B66" s="159" t="s">
        <v>114</v>
      </c>
      <c r="C66" s="159" t="s">
        <v>2</v>
      </c>
      <c r="D66" s="159" t="s">
        <v>2</v>
      </c>
      <c r="E66" s="159">
        <v>5000</v>
      </c>
      <c r="F66" s="159" t="s">
        <v>23</v>
      </c>
      <c r="G66" s="159">
        <v>1298.7012987012986</v>
      </c>
      <c r="H66" s="159">
        <v>1144.1647597254005</v>
      </c>
    </row>
    <row r="67" spans="1:8">
      <c r="A67" s="166">
        <v>42336</v>
      </c>
      <c r="B67" s="159" t="s">
        <v>114</v>
      </c>
      <c r="C67" s="159" t="s">
        <v>2</v>
      </c>
      <c r="D67" s="159" t="s">
        <v>2</v>
      </c>
      <c r="E67" s="159">
        <v>5000</v>
      </c>
      <c r="F67" s="159" t="s">
        <v>23</v>
      </c>
      <c r="G67" s="159">
        <v>1298.7012987012986</v>
      </c>
      <c r="H67" s="159">
        <v>1144.1647597254005</v>
      </c>
    </row>
    <row r="68" spans="1:8">
      <c r="A68" s="166">
        <v>42366</v>
      </c>
      <c r="B68" s="159" t="s">
        <v>114</v>
      </c>
      <c r="C68" s="159" t="s">
        <v>2</v>
      </c>
      <c r="D68" s="159" t="s">
        <v>2</v>
      </c>
      <c r="E68" s="159">
        <v>5000</v>
      </c>
      <c r="F68" s="159" t="s">
        <v>23</v>
      </c>
      <c r="G68" s="159">
        <v>1298.7012987012986</v>
      </c>
      <c r="H68" s="159">
        <v>1144.1647597254005</v>
      </c>
    </row>
    <row r="69" spans="1:8">
      <c r="A69" s="166">
        <v>42091</v>
      </c>
      <c r="B69" s="159" t="s">
        <v>115</v>
      </c>
      <c r="C69" s="159" t="s">
        <v>2</v>
      </c>
      <c r="D69" s="159" t="s">
        <v>2</v>
      </c>
      <c r="E69" s="159">
        <v>3000</v>
      </c>
      <c r="F69" s="159" t="s">
        <v>23</v>
      </c>
      <c r="G69" s="159">
        <v>779.22077922077915</v>
      </c>
      <c r="H69" s="159">
        <v>686.49885583524031</v>
      </c>
    </row>
    <row r="70" spans="1:8">
      <c r="A70" s="166">
        <v>42032</v>
      </c>
      <c r="B70" s="159" t="s">
        <v>116</v>
      </c>
      <c r="C70" s="159" t="s">
        <v>2</v>
      </c>
      <c r="D70" s="159" t="s">
        <v>2</v>
      </c>
      <c r="E70" s="159">
        <v>4370</v>
      </c>
      <c r="F70" s="159" t="s">
        <v>23</v>
      </c>
      <c r="G70" s="159">
        <v>1135.0649350649351</v>
      </c>
      <c r="H70" s="159">
        <v>1000</v>
      </c>
    </row>
    <row r="71" spans="1:8">
      <c r="A71" s="166">
        <v>42091</v>
      </c>
      <c r="B71" s="159" t="s">
        <v>116</v>
      </c>
      <c r="C71" s="159" t="s">
        <v>2</v>
      </c>
      <c r="D71" s="159" t="s">
        <v>2</v>
      </c>
      <c r="E71" s="159">
        <v>13110</v>
      </c>
      <c r="F71" s="159" t="s">
        <v>23</v>
      </c>
      <c r="G71" s="159">
        <v>3405.1948051948052</v>
      </c>
      <c r="H71" s="159">
        <v>3000</v>
      </c>
    </row>
    <row r="72" spans="1:8">
      <c r="A72" s="166">
        <v>42122</v>
      </c>
      <c r="B72" s="159" t="s">
        <v>116</v>
      </c>
      <c r="C72" s="159" t="s">
        <v>2</v>
      </c>
      <c r="D72" s="159" t="s">
        <v>2</v>
      </c>
      <c r="E72" s="159">
        <v>13110</v>
      </c>
      <c r="F72" s="159" t="s">
        <v>23</v>
      </c>
      <c r="G72" s="159">
        <v>3405.1948051948052</v>
      </c>
      <c r="H72" s="159">
        <v>3000</v>
      </c>
    </row>
    <row r="73" spans="1:8">
      <c r="A73" s="166">
        <v>42152</v>
      </c>
      <c r="B73" s="159" t="s">
        <v>116</v>
      </c>
      <c r="C73" s="159" t="s">
        <v>2</v>
      </c>
      <c r="D73" s="159" t="s">
        <v>2</v>
      </c>
      <c r="E73" s="159">
        <v>13110</v>
      </c>
      <c r="F73" s="159" t="s">
        <v>23</v>
      </c>
      <c r="G73" s="159">
        <v>3405.1948051948052</v>
      </c>
      <c r="H73" s="159">
        <v>3000</v>
      </c>
    </row>
    <row r="74" spans="1:8">
      <c r="A74" s="166">
        <v>42183</v>
      </c>
      <c r="B74" s="159" t="s">
        <v>116</v>
      </c>
      <c r="C74" s="159" t="s">
        <v>2</v>
      </c>
      <c r="D74" s="159" t="s">
        <v>2</v>
      </c>
      <c r="E74" s="159">
        <v>13110</v>
      </c>
      <c r="F74" s="159" t="s">
        <v>23</v>
      </c>
      <c r="G74" s="159">
        <v>3405.1948051948052</v>
      </c>
      <c r="H74" s="159">
        <v>3000</v>
      </c>
    </row>
    <row r="75" spans="1:8">
      <c r="A75" s="166">
        <v>42213</v>
      </c>
      <c r="B75" s="159" t="s">
        <v>116</v>
      </c>
      <c r="C75" s="159" t="s">
        <v>2</v>
      </c>
      <c r="D75" s="159" t="s">
        <v>2</v>
      </c>
      <c r="E75" s="159">
        <v>13110</v>
      </c>
      <c r="F75" s="159" t="s">
        <v>23</v>
      </c>
      <c r="G75" s="159">
        <v>3405.1948051948052</v>
      </c>
      <c r="H75" s="159">
        <v>3000</v>
      </c>
    </row>
    <row r="76" spans="1:8">
      <c r="A76" s="166">
        <v>42244</v>
      </c>
      <c r="B76" s="159" t="s">
        <v>116</v>
      </c>
      <c r="C76" s="159" t="s">
        <v>2</v>
      </c>
      <c r="D76" s="159" t="s">
        <v>2</v>
      </c>
      <c r="E76" s="159">
        <v>13110</v>
      </c>
      <c r="F76" s="159" t="s">
        <v>23</v>
      </c>
      <c r="G76" s="159">
        <v>3405.1948051948052</v>
      </c>
      <c r="H76" s="159">
        <v>3000</v>
      </c>
    </row>
    <row r="77" spans="1:8">
      <c r="A77" s="166">
        <v>42275</v>
      </c>
      <c r="B77" s="159" t="s">
        <v>116</v>
      </c>
      <c r="C77" s="159" t="s">
        <v>2</v>
      </c>
      <c r="D77" s="159" t="s">
        <v>2</v>
      </c>
      <c r="E77" s="159">
        <v>13110</v>
      </c>
      <c r="F77" s="159" t="s">
        <v>23</v>
      </c>
      <c r="G77" s="159">
        <v>3405.1948051948052</v>
      </c>
      <c r="H77" s="159">
        <v>3000</v>
      </c>
    </row>
    <row r="78" spans="1:8">
      <c r="A78" s="166">
        <v>42305</v>
      </c>
      <c r="B78" s="159" t="s">
        <v>116</v>
      </c>
      <c r="C78" s="159" t="s">
        <v>2</v>
      </c>
      <c r="D78" s="159" t="s">
        <v>2</v>
      </c>
      <c r="E78" s="159">
        <v>13110</v>
      </c>
      <c r="F78" s="159" t="s">
        <v>23</v>
      </c>
      <c r="G78" s="159">
        <v>3405.1948051948052</v>
      </c>
      <c r="H78" s="159">
        <v>3000</v>
      </c>
    </row>
    <row r="79" spans="1:8">
      <c r="A79" s="166">
        <v>42336</v>
      </c>
      <c r="B79" s="159" t="s">
        <v>116</v>
      </c>
      <c r="C79" s="159" t="s">
        <v>2</v>
      </c>
      <c r="D79" s="159" t="s">
        <v>2</v>
      </c>
      <c r="E79" s="159">
        <v>13110</v>
      </c>
      <c r="F79" s="159" t="s">
        <v>23</v>
      </c>
      <c r="G79" s="159">
        <v>3405.1948051948052</v>
      </c>
      <c r="H79" s="159">
        <v>3000</v>
      </c>
    </row>
    <row r="80" spans="1:8">
      <c r="A80" s="166">
        <v>42366</v>
      </c>
      <c r="B80" s="159" t="s">
        <v>116</v>
      </c>
      <c r="C80" s="159" t="s">
        <v>2</v>
      </c>
      <c r="D80" s="159" t="s">
        <v>2</v>
      </c>
      <c r="E80" s="159">
        <v>13110</v>
      </c>
      <c r="F80" s="159" t="s">
        <v>23</v>
      </c>
      <c r="G80" s="159">
        <v>3405.1948051948052</v>
      </c>
      <c r="H80" s="159">
        <v>3000</v>
      </c>
    </row>
    <row r="81" spans="1:8">
      <c r="A81" s="166">
        <v>42050</v>
      </c>
      <c r="B81" s="159" t="s">
        <v>117</v>
      </c>
      <c r="C81" s="159" t="s">
        <v>62</v>
      </c>
      <c r="D81" s="159" t="s">
        <v>69</v>
      </c>
      <c r="E81" s="159">
        <v>20790</v>
      </c>
      <c r="F81" s="159" t="s">
        <v>23</v>
      </c>
      <c r="G81" s="159">
        <v>5400</v>
      </c>
      <c r="H81" s="159">
        <v>4757.4370709382147</v>
      </c>
    </row>
    <row r="82" spans="1:8">
      <c r="A82" s="166">
        <v>42200</v>
      </c>
      <c r="B82" s="159" t="s">
        <v>117</v>
      </c>
      <c r="C82" s="159" t="s">
        <v>62</v>
      </c>
      <c r="D82" s="159" t="s">
        <v>69</v>
      </c>
      <c r="E82" s="159">
        <v>3465</v>
      </c>
      <c r="F82" s="159" t="s">
        <v>23</v>
      </c>
      <c r="G82" s="159">
        <v>900</v>
      </c>
      <c r="H82" s="159">
        <v>792.90617848970248</v>
      </c>
    </row>
    <row r="83" spans="1:8">
      <c r="A83" s="166">
        <v>42231</v>
      </c>
      <c r="B83" s="159" t="s">
        <v>117</v>
      </c>
      <c r="C83" s="159" t="s">
        <v>62</v>
      </c>
      <c r="D83" s="159" t="s">
        <v>69</v>
      </c>
      <c r="E83" s="159">
        <v>3465</v>
      </c>
      <c r="F83" s="159" t="s">
        <v>23</v>
      </c>
      <c r="G83" s="159">
        <v>900</v>
      </c>
      <c r="H83" s="159">
        <v>792.90617848970248</v>
      </c>
    </row>
    <row r="84" spans="1:8">
      <c r="A84" s="166">
        <v>42262</v>
      </c>
      <c r="B84" s="159" t="s">
        <v>117</v>
      </c>
      <c r="C84" s="159" t="s">
        <v>62</v>
      </c>
      <c r="D84" s="159" t="s">
        <v>69</v>
      </c>
      <c r="E84" s="159">
        <v>3465</v>
      </c>
      <c r="F84" s="159" t="s">
        <v>23</v>
      </c>
      <c r="G84" s="159">
        <v>900</v>
      </c>
      <c r="H84" s="159">
        <v>792.90617848970248</v>
      </c>
    </row>
    <row r="85" spans="1:8">
      <c r="A85" s="166">
        <v>42292</v>
      </c>
      <c r="B85" s="159" t="s">
        <v>117</v>
      </c>
      <c r="C85" s="159" t="s">
        <v>62</v>
      </c>
      <c r="D85" s="159" t="s">
        <v>69</v>
      </c>
      <c r="E85" s="159">
        <v>3465</v>
      </c>
      <c r="F85" s="159" t="s">
        <v>23</v>
      </c>
      <c r="G85" s="159">
        <v>900</v>
      </c>
      <c r="H85" s="159">
        <v>792.90617848970248</v>
      </c>
    </row>
    <row r="86" spans="1:8">
      <c r="A86" s="166">
        <v>42323</v>
      </c>
      <c r="B86" s="159" t="s">
        <v>117</v>
      </c>
      <c r="C86" s="159" t="s">
        <v>62</v>
      </c>
      <c r="D86" s="159" t="s">
        <v>69</v>
      </c>
      <c r="E86" s="159">
        <v>3465</v>
      </c>
      <c r="F86" s="159" t="s">
        <v>23</v>
      </c>
      <c r="G86" s="159">
        <v>900</v>
      </c>
      <c r="H86" s="159">
        <v>792.90617848970248</v>
      </c>
    </row>
    <row r="87" spans="1:8">
      <c r="A87" s="166">
        <v>42353</v>
      </c>
      <c r="B87" s="159" t="s">
        <v>117</v>
      </c>
      <c r="C87" s="159" t="s">
        <v>62</v>
      </c>
      <c r="D87" s="159" t="s">
        <v>69</v>
      </c>
      <c r="E87" s="159">
        <v>3465</v>
      </c>
      <c r="F87" s="159" t="s">
        <v>23</v>
      </c>
      <c r="G87" s="159">
        <v>900</v>
      </c>
      <c r="H87" s="159">
        <v>792.90617848970248</v>
      </c>
    </row>
    <row r="88" spans="1:8">
      <c r="A88" s="166">
        <v>42014</v>
      </c>
      <c r="B88" s="159" t="s">
        <v>68</v>
      </c>
      <c r="C88" s="159" t="s">
        <v>62</v>
      </c>
      <c r="D88" s="159" t="s">
        <v>68</v>
      </c>
      <c r="E88" s="159">
        <v>100000</v>
      </c>
      <c r="F88" s="159" t="s">
        <v>23</v>
      </c>
      <c r="G88" s="159">
        <v>25974.025974025972</v>
      </c>
      <c r="H88" s="159">
        <v>22883.295194508009</v>
      </c>
    </row>
    <row r="89" spans="1:8">
      <c r="A89" s="166">
        <v>42045</v>
      </c>
      <c r="B89" s="159" t="s">
        <v>68</v>
      </c>
      <c r="C89" s="159" t="s">
        <v>62</v>
      </c>
      <c r="D89" s="159" t="s">
        <v>68</v>
      </c>
      <c r="E89" s="159">
        <v>100000</v>
      </c>
      <c r="F89" s="159" t="s">
        <v>23</v>
      </c>
      <c r="G89" s="159">
        <v>25974.025974025972</v>
      </c>
      <c r="H89" s="159">
        <v>22883.295194508009</v>
      </c>
    </row>
    <row r="90" spans="1:8">
      <c r="A90" s="166">
        <v>42073</v>
      </c>
      <c r="B90" s="159" t="s">
        <v>68</v>
      </c>
      <c r="C90" s="159" t="s">
        <v>62</v>
      </c>
      <c r="D90" s="159" t="s">
        <v>68</v>
      </c>
      <c r="E90" s="159">
        <v>100000</v>
      </c>
      <c r="F90" s="159" t="s">
        <v>23</v>
      </c>
      <c r="G90" s="159">
        <v>25974.025974025972</v>
      </c>
      <c r="H90" s="159">
        <v>22883.295194508009</v>
      </c>
    </row>
    <row r="91" spans="1:8">
      <c r="A91" s="166">
        <v>42104</v>
      </c>
      <c r="B91" s="159" t="s">
        <v>68</v>
      </c>
      <c r="C91" s="159" t="s">
        <v>62</v>
      </c>
      <c r="D91" s="159" t="s">
        <v>68</v>
      </c>
      <c r="E91" s="159">
        <v>100000</v>
      </c>
      <c r="F91" s="159" t="s">
        <v>23</v>
      </c>
      <c r="G91" s="159">
        <v>25974.025974025972</v>
      </c>
      <c r="H91" s="159">
        <v>22883.295194508009</v>
      </c>
    </row>
    <row r="92" spans="1:8">
      <c r="A92" s="166">
        <v>42134</v>
      </c>
      <c r="B92" s="159" t="s">
        <v>68</v>
      </c>
      <c r="C92" s="159" t="s">
        <v>62</v>
      </c>
      <c r="D92" s="159" t="s">
        <v>68</v>
      </c>
      <c r="E92" s="159">
        <v>100000</v>
      </c>
      <c r="F92" s="159" t="s">
        <v>23</v>
      </c>
      <c r="G92" s="159">
        <v>25974.025974025972</v>
      </c>
      <c r="H92" s="159">
        <v>22883.295194508009</v>
      </c>
    </row>
    <row r="93" spans="1:8">
      <c r="A93" s="166">
        <v>42165</v>
      </c>
      <c r="B93" s="159" t="s">
        <v>68</v>
      </c>
      <c r="C93" s="159" t="s">
        <v>62</v>
      </c>
      <c r="D93" s="159" t="s">
        <v>68</v>
      </c>
      <c r="E93" s="159">
        <v>100000</v>
      </c>
      <c r="F93" s="159" t="s">
        <v>23</v>
      </c>
      <c r="G93" s="159">
        <v>25974.025974025972</v>
      </c>
      <c r="H93" s="159">
        <v>22883.295194508009</v>
      </c>
    </row>
    <row r="94" spans="1:8">
      <c r="A94" s="166">
        <v>42195</v>
      </c>
      <c r="B94" s="159" t="s">
        <v>68</v>
      </c>
      <c r="C94" s="159" t="s">
        <v>62</v>
      </c>
      <c r="D94" s="159" t="s">
        <v>68</v>
      </c>
      <c r="E94" s="159">
        <v>100000</v>
      </c>
      <c r="F94" s="159" t="s">
        <v>23</v>
      </c>
      <c r="G94" s="159">
        <v>25974.025974025972</v>
      </c>
      <c r="H94" s="159">
        <v>22883.295194508009</v>
      </c>
    </row>
    <row r="95" spans="1:8">
      <c r="A95" s="166">
        <v>42226</v>
      </c>
      <c r="B95" s="159" t="s">
        <v>68</v>
      </c>
      <c r="C95" s="159" t="s">
        <v>62</v>
      </c>
      <c r="D95" s="159" t="s">
        <v>68</v>
      </c>
      <c r="E95" s="159">
        <v>100000</v>
      </c>
      <c r="F95" s="159" t="s">
        <v>23</v>
      </c>
      <c r="G95" s="159">
        <v>25974.025974025972</v>
      </c>
      <c r="H95" s="159">
        <v>22883.295194508009</v>
      </c>
    </row>
    <row r="96" spans="1:8">
      <c r="A96" s="166">
        <v>42257</v>
      </c>
      <c r="B96" s="159" t="s">
        <v>68</v>
      </c>
      <c r="C96" s="159" t="s">
        <v>62</v>
      </c>
      <c r="D96" s="159" t="s">
        <v>68</v>
      </c>
      <c r="E96" s="159">
        <v>100000</v>
      </c>
      <c r="F96" s="159" t="s">
        <v>23</v>
      </c>
      <c r="G96" s="159">
        <v>25974.025974025972</v>
      </c>
      <c r="H96" s="159">
        <v>22883.295194508009</v>
      </c>
    </row>
    <row r="97" spans="1:8">
      <c r="A97" s="166">
        <v>42287</v>
      </c>
      <c r="B97" s="159" t="s">
        <v>68</v>
      </c>
      <c r="C97" s="159" t="s">
        <v>62</v>
      </c>
      <c r="D97" s="159" t="s">
        <v>68</v>
      </c>
      <c r="E97" s="159">
        <v>100000</v>
      </c>
      <c r="F97" s="159" t="s">
        <v>23</v>
      </c>
      <c r="G97" s="159">
        <v>25974.025974025972</v>
      </c>
      <c r="H97" s="159">
        <v>22883.295194508009</v>
      </c>
    </row>
    <row r="98" spans="1:8">
      <c r="A98" s="166">
        <v>42318</v>
      </c>
      <c r="B98" s="159" t="s">
        <v>68</v>
      </c>
      <c r="C98" s="159" t="s">
        <v>62</v>
      </c>
      <c r="D98" s="159" t="s">
        <v>68</v>
      </c>
      <c r="E98" s="159">
        <v>100000</v>
      </c>
      <c r="F98" s="159" t="s">
        <v>23</v>
      </c>
      <c r="G98" s="159">
        <v>25974.025974025972</v>
      </c>
      <c r="H98" s="159">
        <v>22883.295194508009</v>
      </c>
    </row>
    <row r="99" spans="1:8">
      <c r="A99" s="166">
        <v>42348</v>
      </c>
      <c r="B99" s="159" t="s">
        <v>68</v>
      </c>
      <c r="C99" s="159" t="s">
        <v>62</v>
      </c>
      <c r="D99" s="159" t="s">
        <v>68</v>
      </c>
      <c r="E99" s="159">
        <v>100000</v>
      </c>
      <c r="F99" s="159" t="s">
        <v>23</v>
      </c>
      <c r="G99" s="159">
        <v>25974.025974025972</v>
      </c>
      <c r="H99" s="159">
        <v>22883.295194508009</v>
      </c>
    </row>
    <row r="100" spans="1:8">
      <c r="A100" s="166">
        <v>42023</v>
      </c>
      <c r="B100" s="159" t="s">
        <v>31</v>
      </c>
      <c r="C100" s="159" t="s">
        <v>62</v>
      </c>
      <c r="D100" s="159" t="s">
        <v>68</v>
      </c>
      <c r="E100" s="159">
        <v>20000</v>
      </c>
      <c r="F100" s="159" t="s">
        <v>23</v>
      </c>
      <c r="G100" s="159">
        <v>5194.8051948051943</v>
      </c>
      <c r="H100" s="159">
        <v>4576.6590389016019</v>
      </c>
    </row>
    <row r="101" spans="1:8">
      <c r="A101" s="166">
        <v>42054</v>
      </c>
      <c r="B101" s="159" t="s">
        <v>31</v>
      </c>
      <c r="C101" s="159" t="s">
        <v>62</v>
      </c>
      <c r="D101" s="159" t="s">
        <v>68</v>
      </c>
      <c r="E101" s="159">
        <v>20000</v>
      </c>
      <c r="F101" s="159" t="s">
        <v>23</v>
      </c>
      <c r="G101" s="159">
        <v>5194.8051948051943</v>
      </c>
      <c r="H101" s="159">
        <v>4576.6590389016019</v>
      </c>
    </row>
    <row r="102" spans="1:8">
      <c r="A102" s="166">
        <v>42082</v>
      </c>
      <c r="B102" s="159" t="s">
        <v>31</v>
      </c>
      <c r="C102" s="159" t="s">
        <v>62</v>
      </c>
      <c r="D102" s="159" t="s">
        <v>68</v>
      </c>
      <c r="E102" s="159">
        <v>20000</v>
      </c>
      <c r="F102" s="165" t="s">
        <v>23</v>
      </c>
      <c r="G102" s="165">
        <v>5194.8051948051943</v>
      </c>
      <c r="H102" s="165">
        <v>4576.6590389016019</v>
      </c>
    </row>
    <row r="103" spans="1:8">
      <c r="A103" s="166">
        <v>42113</v>
      </c>
      <c r="B103" s="159" t="s">
        <v>31</v>
      </c>
      <c r="C103" s="159" t="s">
        <v>62</v>
      </c>
      <c r="D103" s="159" t="s">
        <v>68</v>
      </c>
      <c r="E103" s="159">
        <v>20000</v>
      </c>
      <c r="F103" s="159" t="s">
        <v>23</v>
      </c>
      <c r="G103" s="159">
        <v>5194.8051948051943</v>
      </c>
      <c r="H103" s="159">
        <v>4576.6590389016019</v>
      </c>
    </row>
    <row r="104" spans="1:8">
      <c r="A104" s="166">
        <v>42143</v>
      </c>
      <c r="B104" s="159" t="s">
        <v>31</v>
      </c>
      <c r="C104" s="159" t="s">
        <v>62</v>
      </c>
      <c r="D104" s="159" t="s">
        <v>68</v>
      </c>
      <c r="E104" s="159">
        <v>20000</v>
      </c>
      <c r="F104" s="159" t="s">
        <v>23</v>
      </c>
      <c r="G104" s="159">
        <v>5194.8051948051943</v>
      </c>
      <c r="H104" s="159">
        <v>4576.6590389016019</v>
      </c>
    </row>
    <row r="105" spans="1:8">
      <c r="A105" s="166">
        <v>42174</v>
      </c>
      <c r="B105" s="159" t="s">
        <v>31</v>
      </c>
      <c r="C105" s="159" t="s">
        <v>62</v>
      </c>
      <c r="D105" s="159" t="s">
        <v>68</v>
      </c>
      <c r="E105" s="159">
        <v>20000</v>
      </c>
      <c r="F105" s="159" t="s">
        <v>23</v>
      </c>
      <c r="G105" s="159">
        <v>5194.8051948051943</v>
      </c>
      <c r="H105" s="159">
        <v>4576.6590389016019</v>
      </c>
    </row>
    <row r="106" spans="1:8">
      <c r="A106" s="166">
        <v>42204</v>
      </c>
      <c r="B106" s="159" t="s">
        <v>31</v>
      </c>
      <c r="C106" s="159" t="s">
        <v>62</v>
      </c>
      <c r="D106" s="159" t="s">
        <v>68</v>
      </c>
      <c r="E106" s="159">
        <v>20000</v>
      </c>
      <c r="F106" s="159" t="s">
        <v>23</v>
      </c>
      <c r="G106" s="159">
        <v>5194.8051948051943</v>
      </c>
      <c r="H106" s="159">
        <v>4576.6590389016019</v>
      </c>
    </row>
    <row r="107" spans="1:8">
      <c r="A107" s="166">
        <v>42235</v>
      </c>
      <c r="B107" s="159" t="s">
        <v>31</v>
      </c>
      <c r="C107" s="159" t="s">
        <v>62</v>
      </c>
      <c r="D107" s="159" t="s">
        <v>68</v>
      </c>
      <c r="E107" s="159">
        <v>20000</v>
      </c>
      <c r="F107" s="159" t="s">
        <v>23</v>
      </c>
      <c r="G107" s="159">
        <v>5194.8051948051943</v>
      </c>
      <c r="H107" s="159">
        <v>4576.6590389016019</v>
      </c>
    </row>
    <row r="108" spans="1:8">
      <c r="A108" s="166">
        <v>42266</v>
      </c>
      <c r="B108" s="159" t="s">
        <v>31</v>
      </c>
      <c r="C108" s="159" t="s">
        <v>62</v>
      </c>
      <c r="D108" s="159" t="s">
        <v>68</v>
      </c>
      <c r="E108" s="159">
        <v>20000</v>
      </c>
      <c r="F108" s="159" t="s">
        <v>23</v>
      </c>
      <c r="G108" s="159">
        <v>5194.8051948051943</v>
      </c>
      <c r="H108" s="159">
        <v>4576.6590389016019</v>
      </c>
    </row>
    <row r="109" spans="1:8">
      <c r="A109" s="166">
        <v>42296</v>
      </c>
      <c r="B109" s="159" t="s">
        <v>31</v>
      </c>
      <c r="C109" s="159" t="s">
        <v>62</v>
      </c>
      <c r="D109" s="159" t="s">
        <v>68</v>
      </c>
      <c r="E109" s="159">
        <v>20000</v>
      </c>
      <c r="F109" s="159" t="s">
        <v>23</v>
      </c>
      <c r="G109" s="159">
        <v>5194.8051948051943</v>
      </c>
      <c r="H109" s="159">
        <v>4576.6590389016019</v>
      </c>
    </row>
    <row r="110" spans="1:8">
      <c r="A110" s="166">
        <v>42327</v>
      </c>
      <c r="B110" s="159" t="s">
        <v>31</v>
      </c>
      <c r="C110" s="159" t="s">
        <v>62</v>
      </c>
      <c r="D110" s="159" t="s">
        <v>68</v>
      </c>
      <c r="E110" s="159">
        <v>20000</v>
      </c>
      <c r="F110" s="159" t="s">
        <v>23</v>
      </c>
      <c r="G110" s="159">
        <v>5194.8051948051943</v>
      </c>
      <c r="H110" s="159">
        <v>4576.6590389016019</v>
      </c>
    </row>
    <row r="111" spans="1:8">
      <c r="A111" s="166">
        <v>42357</v>
      </c>
      <c r="B111" s="159" t="s">
        <v>31</v>
      </c>
      <c r="C111" s="159" t="s">
        <v>62</v>
      </c>
      <c r="D111" s="159" t="s">
        <v>68</v>
      </c>
      <c r="E111" s="159">
        <v>20000</v>
      </c>
      <c r="F111" s="159" t="s">
        <v>23</v>
      </c>
      <c r="G111" s="159">
        <v>5194.8051948051943</v>
      </c>
      <c r="H111" s="159">
        <v>4576.6590389016019</v>
      </c>
    </row>
    <row r="112" spans="1:8">
      <c r="A112" s="166">
        <v>42023</v>
      </c>
      <c r="B112" s="159" t="s">
        <v>22</v>
      </c>
      <c r="C112" s="159" t="s">
        <v>62</v>
      </c>
      <c r="D112" s="159" t="s">
        <v>68</v>
      </c>
      <c r="E112" s="159">
        <v>20000</v>
      </c>
      <c r="F112" s="159" t="s">
        <v>23</v>
      </c>
      <c r="G112" s="159">
        <v>5194.8051948051943</v>
      </c>
      <c r="H112" s="159">
        <v>4576.6590389016019</v>
      </c>
    </row>
    <row r="113" spans="1:8">
      <c r="A113" s="166">
        <v>42054</v>
      </c>
      <c r="B113" s="159" t="s">
        <v>22</v>
      </c>
      <c r="C113" s="159" t="s">
        <v>62</v>
      </c>
      <c r="D113" s="159" t="s">
        <v>68</v>
      </c>
      <c r="E113" s="159">
        <v>20000</v>
      </c>
      <c r="F113" s="159" t="s">
        <v>23</v>
      </c>
      <c r="G113" s="159">
        <v>5194.8051948051943</v>
      </c>
      <c r="H113" s="159">
        <v>4576.6590389016019</v>
      </c>
    </row>
    <row r="114" spans="1:8">
      <c r="A114" s="166">
        <v>42082</v>
      </c>
      <c r="B114" s="159" t="s">
        <v>22</v>
      </c>
      <c r="C114" s="159" t="s">
        <v>62</v>
      </c>
      <c r="D114" s="159" t="s">
        <v>68</v>
      </c>
      <c r="E114" s="159">
        <v>20000</v>
      </c>
      <c r="F114" s="159" t="s">
        <v>23</v>
      </c>
      <c r="G114" s="159">
        <v>5194.8051948051943</v>
      </c>
      <c r="H114" s="159">
        <v>4576.6590389016019</v>
      </c>
    </row>
    <row r="115" spans="1:8">
      <c r="A115" s="166">
        <v>42113</v>
      </c>
      <c r="B115" s="159" t="s">
        <v>22</v>
      </c>
      <c r="C115" s="159" t="s">
        <v>62</v>
      </c>
      <c r="D115" s="159" t="s">
        <v>68</v>
      </c>
      <c r="E115" s="159">
        <v>20000</v>
      </c>
      <c r="F115" s="159" t="s">
        <v>23</v>
      </c>
      <c r="G115" s="159">
        <v>5194.8051948051943</v>
      </c>
      <c r="H115" s="159">
        <v>4576.6590389016019</v>
      </c>
    </row>
    <row r="116" spans="1:8">
      <c r="A116" s="166">
        <v>42143</v>
      </c>
      <c r="B116" s="159" t="s">
        <v>22</v>
      </c>
      <c r="C116" s="159" t="s">
        <v>62</v>
      </c>
      <c r="D116" s="159" t="s">
        <v>68</v>
      </c>
      <c r="E116" s="159">
        <v>20000</v>
      </c>
      <c r="F116" s="159" t="s">
        <v>23</v>
      </c>
      <c r="G116" s="159">
        <v>5194.8051948051943</v>
      </c>
      <c r="H116" s="159">
        <v>4576.6590389016019</v>
      </c>
    </row>
    <row r="117" spans="1:8">
      <c r="A117" s="166">
        <v>42174</v>
      </c>
      <c r="B117" s="159" t="s">
        <v>22</v>
      </c>
      <c r="C117" s="159" t="s">
        <v>62</v>
      </c>
      <c r="D117" s="159" t="s">
        <v>68</v>
      </c>
      <c r="E117" s="159">
        <v>20000</v>
      </c>
      <c r="F117" s="159" t="s">
        <v>23</v>
      </c>
      <c r="G117" s="159">
        <v>5194.8051948051943</v>
      </c>
      <c r="H117" s="159">
        <v>4576.6590389016019</v>
      </c>
    </row>
    <row r="118" spans="1:8">
      <c r="A118" s="166">
        <v>42204</v>
      </c>
      <c r="B118" s="159" t="s">
        <v>22</v>
      </c>
      <c r="C118" s="159" t="s">
        <v>62</v>
      </c>
      <c r="D118" s="159" t="s">
        <v>68</v>
      </c>
      <c r="E118" s="159">
        <v>20000</v>
      </c>
      <c r="F118" s="159" t="s">
        <v>23</v>
      </c>
      <c r="G118" s="159">
        <v>5194.8051948051943</v>
      </c>
      <c r="H118" s="159">
        <v>4576.6590389016019</v>
      </c>
    </row>
    <row r="119" spans="1:8">
      <c r="A119" s="166">
        <v>42235</v>
      </c>
      <c r="B119" s="159" t="s">
        <v>22</v>
      </c>
      <c r="C119" s="159" t="s">
        <v>62</v>
      </c>
      <c r="D119" s="159" t="s">
        <v>68</v>
      </c>
      <c r="E119" s="159">
        <v>20000</v>
      </c>
      <c r="F119" s="159" t="s">
        <v>23</v>
      </c>
      <c r="G119" s="159">
        <v>5194.8051948051943</v>
      </c>
      <c r="H119" s="159">
        <v>4576.6590389016019</v>
      </c>
    </row>
    <row r="120" spans="1:8">
      <c r="A120" s="166">
        <v>42266</v>
      </c>
      <c r="B120" s="159" t="s">
        <v>22</v>
      </c>
      <c r="C120" s="159" t="s">
        <v>62</v>
      </c>
      <c r="D120" s="159" t="s">
        <v>68</v>
      </c>
      <c r="E120" s="159">
        <v>20000</v>
      </c>
      <c r="F120" s="159" t="s">
        <v>23</v>
      </c>
      <c r="G120" s="159">
        <v>5194.8051948051943</v>
      </c>
      <c r="H120" s="159">
        <v>4576.6590389016019</v>
      </c>
    </row>
    <row r="121" spans="1:8">
      <c r="A121" s="166">
        <v>42296</v>
      </c>
      <c r="B121" s="159" t="s">
        <v>22</v>
      </c>
      <c r="C121" s="159" t="s">
        <v>62</v>
      </c>
      <c r="D121" s="159" t="s">
        <v>68</v>
      </c>
      <c r="E121" s="159">
        <v>20000</v>
      </c>
      <c r="F121" s="159" t="s">
        <v>23</v>
      </c>
      <c r="G121" s="159">
        <v>5194.8051948051943</v>
      </c>
      <c r="H121" s="159">
        <v>4576.6590389016019</v>
      </c>
    </row>
    <row r="122" spans="1:8">
      <c r="A122" s="166">
        <v>42327</v>
      </c>
      <c r="B122" s="159" t="s">
        <v>22</v>
      </c>
      <c r="C122" s="159" t="s">
        <v>62</v>
      </c>
      <c r="D122" s="159" t="s">
        <v>68</v>
      </c>
      <c r="E122" s="159">
        <v>20000</v>
      </c>
      <c r="F122" s="159" t="s">
        <v>23</v>
      </c>
      <c r="G122" s="159">
        <v>5194.8051948051943</v>
      </c>
      <c r="H122" s="159">
        <v>4576.6590389016019</v>
      </c>
    </row>
    <row r="123" spans="1:8">
      <c r="A123" s="166">
        <v>42357</v>
      </c>
      <c r="B123" s="159" t="s">
        <v>22</v>
      </c>
      <c r="C123" s="159" t="s">
        <v>62</v>
      </c>
      <c r="D123" s="159" t="s">
        <v>68</v>
      </c>
      <c r="E123" s="159">
        <v>20000</v>
      </c>
      <c r="F123" s="159" t="s">
        <v>23</v>
      </c>
      <c r="G123" s="159">
        <v>5194.8051948051943</v>
      </c>
      <c r="H123" s="159">
        <v>4576.6590389016019</v>
      </c>
    </row>
    <row r="124" spans="1:8">
      <c r="A124" s="166">
        <v>42023</v>
      </c>
      <c r="B124" s="159" t="s">
        <v>56</v>
      </c>
      <c r="C124" s="159" t="s">
        <v>62</v>
      </c>
      <c r="D124" s="159" t="s">
        <v>68</v>
      </c>
      <c r="E124" s="159">
        <v>30000</v>
      </c>
      <c r="F124" s="159" t="s">
        <v>23</v>
      </c>
      <c r="G124" s="159">
        <v>7792.2077922077924</v>
      </c>
      <c r="H124" s="159">
        <v>6864.9885583524028</v>
      </c>
    </row>
    <row r="125" spans="1:8">
      <c r="A125" s="166">
        <v>42054</v>
      </c>
      <c r="B125" s="159" t="s">
        <v>56</v>
      </c>
      <c r="C125" s="159" t="s">
        <v>62</v>
      </c>
      <c r="D125" s="159" t="s">
        <v>68</v>
      </c>
      <c r="E125" s="159">
        <v>30000</v>
      </c>
      <c r="F125" s="159" t="s">
        <v>23</v>
      </c>
      <c r="G125" s="159">
        <v>7792.2077922077924</v>
      </c>
      <c r="H125" s="159">
        <v>6864.9885583524028</v>
      </c>
    </row>
    <row r="126" spans="1:8">
      <c r="A126" s="166">
        <v>42082</v>
      </c>
      <c r="B126" s="159" t="s">
        <v>56</v>
      </c>
      <c r="C126" s="159" t="s">
        <v>62</v>
      </c>
      <c r="D126" s="159" t="s">
        <v>68</v>
      </c>
      <c r="E126" s="159">
        <v>30000</v>
      </c>
      <c r="F126" s="159" t="s">
        <v>23</v>
      </c>
      <c r="G126" s="159">
        <v>7792.2077922077924</v>
      </c>
      <c r="H126" s="159">
        <v>6864.9885583524028</v>
      </c>
    </row>
    <row r="127" spans="1:8">
      <c r="A127" s="166">
        <v>42113</v>
      </c>
      <c r="B127" s="159" t="s">
        <v>56</v>
      </c>
      <c r="C127" s="159" t="s">
        <v>62</v>
      </c>
      <c r="D127" s="159" t="s">
        <v>68</v>
      </c>
      <c r="E127" s="159">
        <v>30000</v>
      </c>
      <c r="F127" s="159" t="s">
        <v>23</v>
      </c>
      <c r="G127" s="159">
        <v>7792.2077922077924</v>
      </c>
      <c r="H127" s="159">
        <v>6864.9885583524028</v>
      </c>
    </row>
    <row r="128" spans="1:8">
      <c r="A128" s="166">
        <v>42143</v>
      </c>
      <c r="B128" s="159" t="s">
        <v>56</v>
      </c>
      <c r="C128" s="159" t="s">
        <v>62</v>
      </c>
      <c r="D128" s="159" t="s">
        <v>68</v>
      </c>
      <c r="E128" s="159">
        <v>30000</v>
      </c>
      <c r="F128" s="159" t="s">
        <v>23</v>
      </c>
      <c r="G128" s="159">
        <v>7792.2077922077924</v>
      </c>
      <c r="H128" s="159">
        <v>6864.9885583524028</v>
      </c>
    </row>
    <row r="129" spans="1:8">
      <c r="A129" s="166">
        <v>42174</v>
      </c>
      <c r="B129" s="159" t="s">
        <v>56</v>
      </c>
      <c r="C129" s="159" t="s">
        <v>62</v>
      </c>
      <c r="D129" s="159" t="s">
        <v>68</v>
      </c>
      <c r="E129" s="159">
        <v>30000</v>
      </c>
      <c r="F129" s="159" t="s">
        <v>23</v>
      </c>
      <c r="G129" s="159">
        <v>7792.2077922077924</v>
      </c>
      <c r="H129" s="159">
        <v>6864.9885583524028</v>
      </c>
    </row>
    <row r="130" spans="1:8">
      <c r="A130" s="166">
        <v>42204</v>
      </c>
      <c r="B130" s="159" t="s">
        <v>56</v>
      </c>
      <c r="C130" s="159" t="s">
        <v>62</v>
      </c>
      <c r="D130" s="159" t="s">
        <v>68</v>
      </c>
      <c r="E130" s="159">
        <v>30000</v>
      </c>
      <c r="F130" s="159" t="s">
        <v>23</v>
      </c>
      <c r="G130" s="159">
        <v>7792.2077922077924</v>
      </c>
      <c r="H130" s="159">
        <v>6864.9885583524028</v>
      </c>
    </row>
    <row r="131" spans="1:8">
      <c r="A131" s="166">
        <v>42235</v>
      </c>
      <c r="B131" s="159" t="s">
        <v>56</v>
      </c>
      <c r="C131" s="159" t="s">
        <v>62</v>
      </c>
      <c r="D131" s="159" t="s">
        <v>68</v>
      </c>
      <c r="E131" s="159">
        <v>30000</v>
      </c>
      <c r="F131" s="159" t="s">
        <v>23</v>
      </c>
      <c r="G131" s="159">
        <v>7792.2077922077924</v>
      </c>
      <c r="H131" s="159">
        <v>6864.9885583524028</v>
      </c>
    </row>
    <row r="132" spans="1:8">
      <c r="A132" s="166">
        <v>42266</v>
      </c>
      <c r="B132" s="159" t="s">
        <v>56</v>
      </c>
      <c r="C132" s="159" t="s">
        <v>62</v>
      </c>
      <c r="D132" s="159" t="s">
        <v>68</v>
      </c>
      <c r="E132" s="159">
        <v>30000</v>
      </c>
      <c r="F132" s="159" t="s">
        <v>23</v>
      </c>
      <c r="G132" s="159">
        <v>7792.2077922077924</v>
      </c>
      <c r="H132" s="159">
        <v>6864.9885583524028</v>
      </c>
    </row>
    <row r="133" spans="1:8">
      <c r="A133" s="166">
        <v>42296</v>
      </c>
      <c r="B133" s="159" t="s">
        <v>56</v>
      </c>
      <c r="C133" s="159" t="s">
        <v>62</v>
      </c>
      <c r="D133" s="159" t="s">
        <v>68</v>
      </c>
      <c r="E133" s="159">
        <v>30000</v>
      </c>
      <c r="F133" s="159" t="s">
        <v>23</v>
      </c>
      <c r="G133" s="159">
        <v>7792.2077922077924</v>
      </c>
      <c r="H133" s="159">
        <v>6864.9885583524028</v>
      </c>
    </row>
    <row r="134" spans="1:8">
      <c r="A134" s="166">
        <v>42327</v>
      </c>
      <c r="B134" s="159" t="s">
        <v>56</v>
      </c>
      <c r="C134" s="159" t="s">
        <v>62</v>
      </c>
      <c r="D134" s="159" t="s">
        <v>68</v>
      </c>
      <c r="E134" s="159">
        <v>30000</v>
      </c>
      <c r="F134" s="159" t="s">
        <v>23</v>
      </c>
      <c r="G134" s="159">
        <v>7792.2077922077924</v>
      </c>
      <c r="H134" s="159">
        <v>6864.9885583524028</v>
      </c>
    </row>
    <row r="135" spans="1:8">
      <c r="A135" s="166">
        <v>42357</v>
      </c>
      <c r="B135" s="159" t="s">
        <v>56</v>
      </c>
      <c r="C135" s="159" t="s">
        <v>62</v>
      </c>
      <c r="D135" s="159" t="s">
        <v>68</v>
      </c>
      <c r="E135" s="159">
        <v>30000</v>
      </c>
      <c r="F135" s="159" t="s">
        <v>23</v>
      </c>
      <c r="G135" s="159">
        <v>7792.2077922077924</v>
      </c>
      <c r="H135" s="159">
        <v>6864.9885583524028</v>
      </c>
    </row>
    <row r="136" spans="1:8">
      <c r="A136" s="166">
        <v>42023</v>
      </c>
      <c r="B136" s="159" t="s">
        <v>96</v>
      </c>
      <c r="C136" s="159" t="s">
        <v>1</v>
      </c>
      <c r="D136" s="159" t="s">
        <v>1</v>
      </c>
      <c r="E136" s="159">
        <v>10000</v>
      </c>
      <c r="F136" s="159" t="s">
        <v>23</v>
      </c>
      <c r="G136" s="159">
        <v>2597.4025974025972</v>
      </c>
      <c r="H136" s="159">
        <v>2288.3295194508009</v>
      </c>
    </row>
    <row r="137" spans="1:8">
      <c r="A137" s="166">
        <v>42054</v>
      </c>
      <c r="B137" s="159" t="s">
        <v>96</v>
      </c>
      <c r="C137" s="159" t="s">
        <v>1</v>
      </c>
      <c r="D137" s="159" t="s">
        <v>1</v>
      </c>
      <c r="E137" s="159">
        <v>10000</v>
      </c>
      <c r="F137" s="159" t="s">
        <v>23</v>
      </c>
      <c r="G137" s="159">
        <v>2597.4025974025972</v>
      </c>
      <c r="H137" s="159">
        <v>2288.3295194508009</v>
      </c>
    </row>
    <row r="138" spans="1:8">
      <c r="A138" s="166">
        <v>42082</v>
      </c>
      <c r="B138" s="159" t="s">
        <v>96</v>
      </c>
      <c r="C138" s="159" t="s">
        <v>1</v>
      </c>
      <c r="D138" s="159" t="s">
        <v>1</v>
      </c>
      <c r="E138" s="159">
        <v>10000</v>
      </c>
      <c r="F138" s="159" t="s">
        <v>23</v>
      </c>
      <c r="G138" s="159">
        <v>2597.4025974025972</v>
      </c>
      <c r="H138" s="159">
        <v>2288.3295194508009</v>
      </c>
    </row>
    <row r="139" spans="1:8">
      <c r="A139" s="166">
        <v>42113</v>
      </c>
      <c r="B139" s="159" t="s">
        <v>96</v>
      </c>
      <c r="C139" s="159" t="s">
        <v>1</v>
      </c>
      <c r="D139" s="159" t="s">
        <v>1</v>
      </c>
      <c r="E139" s="159">
        <v>10000</v>
      </c>
      <c r="F139" s="159" t="s">
        <v>23</v>
      </c>
      <c r="G139" s="159">
        <v>2597.4025974025972</v>
      </c>
      <c r="H139" s="159">
        <v>2288.3295194508009</v>
      </c>
    </row>
    <row r="140" spans="1:8">
      <c r="A140" s="166">
        <v>42143</v>
      </c>
      <c r="B140" s="159" t="s">
        <v>96</v>
      </c>
      <c r="C140" s="159" t="s">
        <v>1</v>
      </c>
      <c r="D140" s="159" t="s">
        <v>1</v>
      </c>
      <c r="E140" s="159">
        <v>10000</v>
      </c>
      <c r="F140" s="159" t="s">
        <v>23</v>
      </c>
      <c r="G140" s="159">
        <v>2597.4025974025972</v>
      </c>
      <c r="H140" s="159">
        <v>2288.3295194508009</v>
      </c>
    </row>
    <row r="141" spans="1:8">
      <c r="A141" s="166">
        <v>42174</v>
      </c>
      <c r="B141" s="159" t="s">
        <v>96</v>
      </c>
      <c r="C141" s="159" t="s">
        <v>1</v>
      </c>
      <c r="D141" s="159" t="s">
        <v>1</v>
      </c>
      <c r="E141" s="159">
        <v>10000</v>
      </c>
      <c r="F141" s="159" t="s">
        <v>23</v>
      </c>
      <c r="G141" s="159">
        <v>2597.4025974025972</v>
      </c>
      <c r="H141" s="159">
        <v>2288.3295194508009</v>
      </c>
    </row>
    <row r="142" spans="1:8">
      <c r="A142" s="166">
        <v>42204</v>
      </c>
      <c r="B142" s="159" t="s">
        <v>96</v>
      </c>
      <c r="C142" s="159" t="s">
        <v>1</v>
      </c>
      <c r="D142" s="159" t="s">
        <v>1</v>
      </c>
      <c r="E142" s="159">
        <v>10000</v>
      </c>
      <c r="F142" s="159" t="s">
        <v>23</v>
      </c>
      <c r="G142" s="159">
        <v>2597.4025974025972</v>
      </c>
      <c r="H142" s="159">
        <v>2288.3295194508009</v>
      </c>
    </row>
    <row r="143" spans="1:8">
      <c r="A143" s="166">
        <v>42235</v>
      </c>
      <c r="B143" s="159" t="s">
        <v>96</v>
      </c>
      <c r="C143" s="159" t="s">
        <v>1</v>
      </c>
      <c r="D143" s="159" t="s">
        <v>1</v>
      </c>
      <c r="E143" s="159">
        <v>10000</v>
      </c>
      <c r="F143" s="159" t="s">
        <v>23</v>
      </c>
      <c r="G143" s="159">
        <v>2597.4025974025972</v>
      </c>
      <c r="H143" s="159">
        <v>2288.3295194508009</v>
      </c>
    </row>
    <row r="144" spans="1:8">
      <c r="A144" s="166">
        <v>42266</v>
      </c>
      <c r="B144" s="159" t="s">
        <v>96</v>
      </c>
      <c r="C144" s="159" t="s">
        <v>1</v>
      </c>
      <c r="D144" s="159" t="s">
        <v>1</v>
      </c>
      <c r="E144" s="159">
        <v>10000</v>
      </c>
      <c r="F144" s="159" t="s">
        <v>23</v>
      </c>
      <c r="G144" s="159">
        <v>2597.4025974025972</v>
      </c>
      <c r="H144" s="159">
        <v>2288.3295194508009</v>
      </c>
    </row>
    <row r="145" spans="1:8">
      <c r="A145" s="166">
        <v>42296</v>
      </c>
      <c r="B145" s="159" t="s">
        <v>96</v>
      </c>
      <c r="C145" s="159" t="s">
        <v>1</v>
      </c>
      <c r="D145" s="159" t="s">
        <v>1</v>
      </c>
      <c r="E145" s="159">
        <v>10000</v>
      </c>
      <c r="F145" s="159" t="s">
        <v>23</v>
      </c>
      <c r="G145" s="159">
        <v>2597.4025974025972</v>
      </c>
      <c r="H145" s="159">
        <v>2288.3295194508009</v>
      </c>
    </row>
    <row r="146" spans="1:8">
      <c r="A146" s="166">
        <v>42327</v>
      </c>
      <c r="B146" s="159" t="s">
        <v>96</v>
      </c>
      <c r="C146" s="159" t="s">
        <v>1</v>
      </c>
      <c r="D146" s="159" t="s">
        <v>1</v>
      </c>
      <c r="E146" s="159">
        <v>10000</v>
      </c>
      <c r="F146" s="159" t="s">
        <v>23</v>
      </c>
      <c r="G146" s="159">
        <v>2597.4025974025972</v>
      </c>
      <c r="H146" s="159">
        <v>2288.3295194508009</v>
      </c>
    </row>
    <row r="147" spans="1:8">
      <c r="A147" s="166">
        <v>42357</v>
      </c>
      <c r="B147" s="159" t="s">
        <v>96</v>
      </c>
      <c r="C147" s="159" t="s">
        <v>1</v>
      </c>
      <c r="D147" s="159" t="s">
        <v>1</v>
      </c>
      <c r="E147" s="159">
        <v>10000</v>
      </c>
      <c r="F147" s="159" t="s">
        <v>23</v>
      </c>
      <c r="G147" s="159">
        <v>2597.4025974025972</v>
      </c>
      <c r="H147" s="159">
        <v>2288.3295194508009</v>
      </c>
    </row>
    <row r="148" spans="1:8">
      <c r="A148" s="166">
        <v>42005</v>
      </c>
      <c r="B148" s="159" t="s">
        <v>118</v>
      </c>
      <c r="C148" s="159" t="s">
        <v>62</v>
      </c>
      <c r="D148" s="159" t="s">
        <v>69</v>
      </c>
      <c r="E148" s="159">
        <v>1500</v>
      </c>
      <c r="F148" s="159" t="s">
        <v>34</v>
      </c>
      <c r="G148" s="159">
        <v>389.61038961038957</v>
      </c>
      <c r="H148" s="159">
        <v>343.24942791762015</v>
      </c>
    </row>
    <row r="149" spans="1:8">
      <c r="A149" s="166">
        <v>42036</v>
      </c>
      <c r="B149" s="159" t="s">
        <v>118</v>
      </c>
      <c r="C149" s="159" t="s">
        <v>62</v>
      </c>
      <c r="D149" s="159" t="s">
        <v>69</v>
      </c>
      <c r="E149" s="159">
        <v>1500</v>
      </c>
      <c r="F149" s="159" t="s">
        <v>34</v>
      </c>
      <c r="G149" s="159">
        <v>389.61038961038957</v>
      </c>
      <c r="H149" s="159">
        <v>343.24942791762015</v>
      </c>
    </row>
    <row r="150" spans="1:8">
      <c r="A150" s="166">
        <v>42064</v>
      </c>
      <c r="B150" s="159" t="s">
        <v>118</v>
      </c>
      <c r="C150" s="159" t="s">
        <v>62</v>
      </c>
      <c r="D150" s="159" t="s">
        <v>69</v>
      </c>
      <c r="E150" s="159">
        <v>1500</v>
      </c>
      <c r="F150" s="159" t="s">
        <v>34</v>
      </c>
      <c r="G150" s="159">
        <v>389.61038961038957</v>
      </c>
      <c r="H150" s="159">
        <v>343.24942791762015</v>
      </c>
    </row>
    <row r="151" spans="1:8">
      <c r="A151" s="166">
        <v>42095</v>
      </c>
      <c r="B151" s="159" t="s">
        <v>118</v>
      </c>
      <c r="C151" s="159" t="s">
        <v>62</v>
      </c>
      <c r="D151" s="159" t="s">
        <v>69</v>
      </c>
      <c r="E151" s="159">
        <v>1500</v>
      </c>
      <c r="F151" s="159" t="s">
        <v>34</v>
      </c>
      <c r="G151" s="159">
        <v>389.61038961038957</v>
      </c>
      <c r="H151" s="159">
        <v>343.24942791762015</v>
      </c>
    </row>
    <row r="152" spans="1:8">
      <c r="A152" s="166">
        <v>42125</v>
      </c>
      <c r="B152" s="159" t="s">
        <v>118</v>
      </c>
      <c r="C152" s="159" t="s">
        <v>62</v>
      </c>
      <c r="D152" s="159" t="s">
        <v>69</v>
      </c>
      <c r="E152" s="159">
        <v>1500</v>
      </c>
      <c r="F152" s="159" t="s">
        <v>34</v>
      </c>
      <c r="G152" s="159">
        <v>389.61038961038957</v>
      </c>
      <c r="H152" s="159">
        <v>343.24942791762015</v>
      </c>
    </row>
    <row r="153" spans="1:8">
      <c r="A153" s="166">
        <v>42156</v>
      </c>
      <c r="B153" s="159" t="s">
        <v>118</v>
      </c>
      <c r="C153" s="159" t="s">
        <v>62</v>
      </c>
      <c r="D153" s="159" t="s">
        <v>69</v>
      </c>
      <c r="E153" s="159">
        <v>1500</v>
      </c>
      <c r="F153" s="159" t="s">
        <v>34</v>
      </c>
      <c r="G153" s="159">
        <v>389.61038961038957</v>
      </c>
      <c r="H153" s="159">
        <v>343.24942791762015</v>
      </c>
    </row>
    <row r="154" spans="1:8">
      <c r="A154" s="166">
        <v>42186</v>
      </c>
      <c r="B154" s="159" t="s">
        <v>118</v>
      </c>
      <c r="C154" s="159" t="s">
        <v>62</v>
      </c>
      <c r="D154" s="159" t="s">
        <v>69</v>
      </c>
      <c r="E154" s="159">
        <v>1500</v>
      </c>
      <c r="F154" s="159" t="s">
        <v>34</v>
      </c>
      <c r="G154" s="159">
        <v>389.61038961038957</v>
      </c>
      <c r="H154" s="159">
        <v>343.24942791762015</v>
      </c>
    </row>
    <row r="155" spans="1:8">
      <c r="A155" s="166">
        <v>42217</v>
      </c>
      <c r="B155" s="159" t="s">
        <v>118</v>
      </c>
      <c r="C155" s="159" t="s">
        <v>62</v>
      </c>
      <c r="D155" s="159" t="s">
        <v>69</v>
      </c>
      <c r="E155" s="159">
        <v>1500</v>
      </c>
      <c r="F155" s="159" t="s">
        <v>34</v>
      </c>
      <c r="G155" s="159">
        <v>389.61038961038957</v>
      </c>
      <c r="H155" s="159">
        <v>343.24942791762015</v>
      </c>
    </row>
    <row r="156" spans="1:8">
      <c r="A156" s="166">
        <v>42248</v>
      </c>
      <c r="B156" s="159" t="s">
        <v>118</v>
      </c>
      <c r="C156" s="159" t="s">
        <v>62</v>
      </c>
      <c r="D156" s="159" t="s">
        <v>69</v>
      </c>
      <c r="E156" s="159">
        <v>1500</v>
      </c>
      <c r="F156" s="159" t="s">
        <v>34</v>
      </c>
      <c r="G156" s="159">
        <v>389.61038961038957</v>
      </c>
      <c r="H156" s="159">
        <v>343.24942791762015</v>
      </c>
    </row>
    <row r="157" spans="1:8">
      <c r="A157" s="166">
        <v>42278</v>
      </c>
      <c r="B157" s="159" t="s">
        <v>118</v>
      </c>
      <c r="C157" s="159" t="s">
        <v>62</v>
      </c>
      <c r="D157" s="159" t="s">
        <v>69</v>
      </c>
      <c r="E157" s="159">
        <v>1500</v>
      </c>
      <c r="F157" s="159" t="s">
        <v>34</v>
      </c>
      <c r="G157" s="159">
        <v>389.61038961038957</v>
      </c>
      <c r="H157" s="159">
        <v>343.24942791762015</v>
      </c>
    </row>
    <row r="158" spans="1:8">
      <c r="A158" s="166">
        <v>42309</v>
      </c>
      <c r="B158" s="159" t="s">
        <v>118</v>
      </c>
      <c r="C158" s="159" t="s">
        <v>62</v>
      </c>
      <c r="D158" s="159" t="s">
        <v>69</v>
      </c>
      <c r="E158" s="159">
        <v>1500</v>
      </c>
      <c r="F158" s="159" t="s">
        <v>34</v>
      </c>
      <c r="G158" s="159">
        <v>389.61038961038957</v>
      </c>
      <c r="H158" s="159">
        <v>343.24942791762015</v>
      </c>
    </row>
    <row r="159" spans="1:8">
      <c r="A159" s="166">
        <v>42339</v>
      </c>
      <c r="B159" s="159" t="s">
        <v>118</v>
      </c>
      <c r="C159" s="159" t="s">
        <v>62</v>
      </c>
      <c r="D159" s="159" t="s">
        <v>69</v>
      </c>
      <c r="E159" s="159">
        <v>1500</v>
      </c>
      <c r="F159" s="159" t="s">
        <v>34</v>
      </c>
      <c r="G159" s="159">
        <v>389.61038961038957</v>
      </c>
      <c r="H159" s="159">
        <v>343.24942791762015</v>
      </c>
    </row>
    <row r="160" spans="1:8">
      <c r="A160" s="166">
        <v>42032</v>
      </c>
      <c r="B160" s="159" t="s">
        <v>119</v>
      </c>
      <c r="C160" s="159" t="s">
        <v>62</v>
      </c>
      <c r="D160" s="159" t="s">
        <v>70</v>
      </c>
      <c r="E160" s="159">
        <v>1000</v>
      </c>
      <c r="F160" s="159" t="s">
        <v>34</v>
      </c>
      <c r="G160" s="159">
        <v>259.74025974025972</v>
      </c>
      <c r="H160" s="159">
        <v>228.83295194508008</v>
      </c>
    </row>
    <row r="161" spans="1:8">
      <c r="A161" s="166">
        <v>42063</v>
      </c>
      <c r="B161" s="159" t="s">
        <v>119</v>
      </c>
      <c r="C161" s="159" t="s">
        <v>62</v>
      </c>
      <c r="D161" s="159" t="s">
        <v>70</v>
      </c>
      <c r="E161" s="159">
        <v>1000</v>
      </c>
      <c r="F161" s="159" t="s">
        <v>34</v>
      </c>
      <c r="G161" s="159">
        <v>259.74025974025972</v>
      </c>
      <c r="H161" s="159">
        <v>228.83295194508008</v>
      </c>
    </row>
    <row r="162" spans="1:8">
      <c r="A162" s="166">
        <v>42091</v>
      </c>
      <c r="B162" s="159" t="s">
        <v>119</v>
      </c>
      <c r="C162" s="159" t="s">
        <v>62</v>
      </c>
      <c r="D162" s="159" t="s">
        <v>70</v>
      </c>
      <c r="E162" s="159">
        <v>1000</v>
      </c>
      <c r="F162" s="159" t="s">
        <v>34</v>
      </c>
      <c r="G162" s="159">
        <v>259.74025974025972</v>
      </c>
      <c r="H162" s="159">
        <v>228.83295194508008</v>
      </c>
    </row>
    <row r="163" spans="1:8">
      <c r="A163" s="166">
        <v>42122</v>
      </c>
      <c r="B163" s="159" t="s">
        <v>119</v>
      </c>
      <c r="C163" s="159" t="s">
        <v>62</v>
      </c>
      <c r="D163" s="159" t="s">
        <v>70</v>
      </c>
      <c r="E163" s="159">
        <v>1000</v>
      </c>
      <c r="F163" s="159" t="s">
        <v>34</v>
      </c>
      <c r="G163" s="159">
        <v>259.74025974025972</v>
      </c>
      <c r="H163" s="159">
        <v>228.83295194508008</v>
      </c>
    </row>
    <row r="164" spans="1:8">
      <c r="A164" s="166">
        <v>42152</v>
      </c>
      <c r="B164" s="159" t="s">
        <v>119</v>
      </c>
      <c r="C164" s="159" t="s">
        <v>62</v>
      </c>
      <c r="D164" s="159" t="s">
        <v>70</v>
      </c>
      <c r="E164" s="159">
        <v>1000</v>
      </c>
      <c r="F164" s="159" t="s">
        <v>34</v>
      </c>
      <c r="G164" s="159">
        <v>259.74025974025972</v>
      </c>
      <c r="H164" s="159">
        <v>228.83295194508008</v>
      </c>
    </row>
    <row r="165" spans="1:8">
      <c r="A165" s="166">
        <v>42183</v>
      </c>
      <c r="B165" s="159" t="s">
        <v>119</v>
      </c>
      <c r="C165" s="159" t="s">
        <v>62</v>
      </c>
      <c r="D165" s="159" t="s">
        <v>70</v>
      </c>
      <c r="E165" s="159">
        <v>1000</v>
      </c>
      <c r="F165" s="159" t="s">
        <v>34</v>
      </c>
      <c r="G165" s="159">
        <v>259.74025974025972</v>
      </c>
      <c r="H165" s="159">
        <v>228.83295194508008</v>
      </c>
    </row>
    <row r="166" spans="1:8">
      <c r="A166" s="166">
        <v>42213</v>
      </c>
      <c r="B166" s="159" t="s">
        <v>119</v>
      </c>
      <c r="C166" s="159" t="s">
        <v>62</v>
      </c>
      <c r="D166" s="159" t="s">
        <v>70</v>
      </c>
      <c r="E166" s="159">
        <v>1000</v>
      </c>
      <c r="F166" s="159" t="s">
        <v>34</v>
      </c>
      <c r="G166" s="159">
        <v>259.74025974025972</v>
      </c>
      <c r="H166" s="159">
        <v>228.83295194508008</v>
      </c>
    </row>
    <row r="167" spans="1:8">
      <c r="A167" s="166">
        <v>42244</v>
      </c>
      <c r="B167" s="159" t="s">
        <v>119</v>
      </c>
      <c r="C167" s="159" t="s">
        <v>62</v>
      </c>
      <c r="D167" s="159" t="s">
        <v>70</v>
      </c>
      <c r="E167" s="159">
        <v>1000</v>
      </c>
      <c r="F167" s="159" t="s">
        <v>34</v>
      </c>
      <c r="G167" s="159">
        <v>259.74025974025972</v>
      </c>
      <c r="H167" s="159">
        <v>228.83295194508008</v>
      </c>
    </row>
    <row r="168" spans="1:8">
      <c r="A168" s="166">
        <v>42275</v>
      </c>
      <c r="B168" s="159" t="s">
        <v>119</v>
      </c>
      <c r="C168" s="159" t="s">
        <v>62</v>
      </c>
      <c r="D168" s="159" t="s">
        <v>70</v>
      </c>
      <c r="E168" s="159">
        <v>1000</v>
      </c>
      <c r="F168" s="159" t="s">
        <v>34</v>
      </c>
      <c r="G168" s="159">
        <v>259.74025974025972</v>
      </c>
      <c r="H168" s="159">
        <v>228.83295194508008</v>
      </c>
    </row>
    <row r="169" spans="1:8">
      <c r="A169" s="166">
        <v>42305</v>
      </c>
      <c r="B169" s="159" t="s">
        <v>119</v>
      </c>
      <c r="C169" s="159" t="s">
        <v>62</v>
      </c>
      <c r="D169" s="159" t="s">
        <v>70</v>
      </c>
      <c r="E169" s="159">
        <v>1000</v>
      </c>
      <c r="F169" s="159" t="s">
        <v>34</v>
      </c>
      <c r="G169" s="159">
        <v>259.74025974025972</v>
      </c>
      <c r="H169" s="159">
        <v>228.83295194508008</v>
      </c>
    </row>
    <row r="170" spans="1:8">
      <c r="A170" s="166">
        <v>42336</v>
      </c>
      <c r="B170" s="159" t="s">
        <v>119</v>
      </c>
      <c r="C170" s="159" t="s">
        <v>62</v>
      </c>
      <c r="D170" s="159" t="s">
        <v>70</v>
      </c>
      <c r="E170" s="159">
        <v>1000</v>
      </c>
      <c r="F170" s="159" t="s">
        <v>34</v>
      </c>
      <c r="G170" s="159">
        <v>259.74025974025972</v>
      </c>
      <c r="H170" s="159">
        <v>228.83295194508008</v>
      </c>
    </row>
    <row r="171" spans="1:8">
      <c r="A171" s="166">
        <v>42366</v>
      </c>
      <c r="B171" s="159" t="s">
        <v>119</v>
      </c>
      <c r="C171" s="159" t="s">
        <v>62</v>
      </c>
      <c r="D171" s="159" t="s">
        <v>70</v>
      </c>
      <c r="E171" s="159">
        <v>1000</v>
      </c>
      <c r="F171" s="159" t="s">
        <v>34</v>
      </c>
      <c r="G171" s="159">
        <v>259.74025974025972</v>
      </c>
      <c r="H171" s="159">
        <v>228.83295194508008</v>
      </c>
    </row>
    <row r="172" spans="1:8">
      <c r="A172" s="166">
        <v>42019</v>
      </c>
      <c r="B172" s="159" t="s">
        <v>120</v>
      </c>
      <c r="C172" s="159" t="s">
        <v>62</v>
      </c>
      <c r="D172" s="159" t="s">
        <v>69</v>
      </c>
      <c r="E172" s="159">
        <v>3850</v>
      </c>
      <c r="F172" s="159" t="s">
        <v>58</v>
      </c>
      <c r="G172" s="159">
        <v>1000</v>
      </c>
      <c r="H172" s="159">
        <v>881.00686498855828</v>
      </c>
    </row>
    <row r="173" spans="1:8">
      <c r="A173" s="166">
        <v>42050</v>
      </c>
      <c r="B173" s="159" t="s">
        <v>120</v>
      </c>
      <c r="C173" s="159" t="s">
        <v>62</v>
      </c>
      <c r="D173" s="159" t="s">
        <v>69</v>
      </c>
      <c r="E173" s="159">
        <v>3850</v>
      </c>
      <c r="F173" s="159" t="s">
        <v>58</v>
      </c>
      <c r="G173" s="159">
        <v>1000</v>
      </c>
      <c r="H173" s="159">
        <v>881.00686498855828</v>
      </c>
    </row>
    <row r="174" spans="1:8">
      <c r="A174" s="166">
        <v>42078</v>
      </c>
      <c r="B174" s="159" t="s">
        <v>120</v>
      </c>
      <c r="C174" s="159" t="s">
        <v>62</v>
      </c>
      <c r="D174" s="159" t="s">
        <v>69</v>
      </c>
      <c r="E174" s="159">
        <v>3850</v>
      </c>
      <c r="F174" s="159" t="s">
        <v>58</v>
      </c>
      <c r="G174" s="159">
        <v>1000</v>
      </c>
      <c r="H174" s="159">
        <v>881.00686498855828</v>
      </c>
    </row>
    <row r="175" spans="1:8">
      <c r="A175" s="166">
        <v>42109</v>
      </c>
      <c r="B175" s="159" t="s">
        <v>120</v>
      </c>
      <c r="C175" s="159" t="s">
        <v>62</v>
      </c>
      <c r="D175" s="159" t="s">
        <v>69</v>
      </c>
      <c r="E175" s="159">
        <v>3850</v>
      </c>
      <c r="F175" s="159" t="s">
        <v>58</v>
      </c>
      <c r="G175" s="159">
        <v>1000</v>
      </c>
      <c r="H175" s="159">
        <v>881.00686498855828</v>
      </c>
    </row>
    <row r="176" spans="1:8">
      <c r="A176" s="166">
        <v>42139</v>
      </c>
      <c r="B176" s="159" t="s">
        <v>120</v>
      </c>
      <c r="C176" s="159" t="s">
        <v>62</v>
      </c>
      <c r="D176" s="159" t="s">
        <v>69</v>
      </c>
      <c r="E176" s="159">
        <v>3850</v>
      </c>
      <c r="F176" s="159" t="s">
        <v>58</v>
      </c>
      <c r="G176" s="159">
        <v>1000</v>
      </c>
      <c r="H176" s="159">
        <v>881.00686498855828</v>
      </c>
    </row>
    <row r="177" spans="1:8">
      <c r="A177" s="166">
        <v>42170</v>
      </c>
      <c r="B177" s="159" t="s">
        <v>120</v>
      </c>
      <c r="C177" s="159" t="s">
        <v>62</v>
      </c>
      <c r="D177" s="159" t="s">
        <v>69</v>
      </c>
      <c r="E177" s="159">
        <v>3850</v>
      </c>
      <c r="F177" s="159" t="s">
        <v>58</v>
      </c>
      <c r="G177" s="159">
        <v>1000</v>
      </c>
      <c r="H177" s="159">
        <v>881.00686498855828</v>
      </c>
    </row>
    <row r="178" spans="1:8">
      <c r="A178" s="166">
        <v>42200</v>
      </c>
      <c r="B178" s="159" t="s">
        <v>120</v>
      </c>
      <c r="C178" s="159" t="s">
        <v>62</v>
      </c>
      <c r="D178" s="159" t="s">
        <v>69</v>
      </c>
      <c r="E178" s="159">
        <v>3850</v>
      </c>
      <c r="F178" s="159" t="s">
        <v>58</v>
      </c>
      <c r="G178" s="159">
        <v>1000</v>
      </c>
      <c r="H178" s="159">
        <v>881.00686498855828</v>
      </c>
    </row>
    <row r="179" spans="1:8">
      <c r="A179" s="166">
        <v>42231</v>
      </c>
      <c r="B179" s="159" t="s">
        <v>120</v>
      </c>
      <c r="C179" s="159" t="s">
        <v>62</v>
      </c>
      <c r="D179" s="159" t="s">
        <v>69</v>
      </c>
      <c r="E179" s="159">
        <v>3850</v>
      </c>
      <c r="F179" s="159" t="s">
        <v>58</v>
      </c>
      <c r="G179" s="159">
        <v>1000</v>
      </c>
      <c r="H179" s="159">
        <v>881.00686498855828</v>
      </c>
    </row>
    <row r="180" spans="1:8">
      <c r="A180" s="166">
        <v>42262</v>
      </c>
      <c r="B180" s="159" t="s">
        <v>120</v>
      </c>
      <c r="C180" s="159" t="s">
        <v>62</v>
      </c>
      <c r="D180" s="159" t="s">
        <v>69</v>
      </c>
      <c r="E180" s="159">
        <v>3850</v>
      </c>
      <c r="F180" s="159" t="s">
        <v>58</v>
      </c>
      <c r="G180" s="159">
        <v>1000</v>
      </c>
      <c r="H180" s="159">
        <v>881.00686498855828</v>
      </c>
    </row>
    <row r="181" spans="1:8">
      <c r="A181" s="166">
        <v>42292</v>
      </c>
      <c r="B181" s="159" t="s">
        <v>120</v>
      </c>
      <c r="C181" s="159" t="s">
        <v>62</v>
      </c>
      <c r="D181" s="159" t="s">
        <v>69</v>
      </c>
      <c r="E181" s="159">
        <v>3850</v>
      </c>
      <c r="F181" s="159" t="s">
        <v>58</v>
      </c>
      <c r="G181" s="159">
        <v>1000</v>
      </c>
      <c r="H181" s="159">
        <v>881.00686498855828</v>
      </c>
    </row>
    <row r="182" spans="1:8">
      <c r="A182" s="166">
        <v>42323</v>
      </c>
      <c r="B182" s="159" t="s">
        <v>120</v>
      </c>
      <c r="C182" s="159" t="s">
        <v>62</v>
      </c>
      <c r="D182" s="159" t="s">
        <v>69</v>
      </c>
      <c r="E182" s="159">
        <v>3850</v>
      </c>
      <c r="F182" s="159" t="s">
        <v>58</v>
      </c>
      <c r="G182" s="159">
        <v>1000</v>
      </c>
      <c r="H182" s="159">
        <v>881.00686498855828</v>
      </c>
    </row>
    <row r="183" spans="1:8">
      <c r="A183" s="166">
        <v>42353</v>
      </c>
      <c r="B183" s="159" t="s">
        <v>120</v>
      </c>
      <c r="C183" s="159" t="s">
        <v>62</v>
      </c>
      <c r="D183" s="159" t="s">
        <v>69</v>
      </c>
      <c r="E183" s="159">
        <v>3850</v>
      </c>
      <c r="F183" s="159" t="s">
        <v>58</v>
      </c>
      <c r="G183" s="159">
        <v>1000</v>
      </c>
      <c r="H183" s="159">
        <v>881.00686498855828</v>
      </c>
    </row>
    <row r="184" spans="1:8">
      <c r="A184" s="166">
        <v>42014</v>
      </c>
      <c r="B184" s="159" t="s">
        <v>121</v>
      </c>
      <c r="C184" s="159" t="s">
        <v>62</v>
      </c>
      <c r="D184" s="159" t="s">
        <v>72</v>
      </c>
      <c r="E184" s="159">
        <v>1000</v>
      </c>
      <c r="F184" s="159" t="s">
        <v>58</v>
      </c>
      <c r="G184" s="159">
        <v>259.74025974025972</v>
      </c>
      <c r="H184" s="159">
        <v>228.83295194508008</v>
      </c>
    </row>
    <row r="185" spans="1:8">
      <c r="A185" s="166">
        <v>42045</v>
      </c>
      <c r="B185" s="159" t="s">
        <v>121</v>
      </c>
      <c r="C185" s="159" t="s">
        <v>62</v>
      </c>
      <c r="D185" s="159" t="s">
        <v>72</v>
      </c>
      <c r="E185" s="159">
        <v>1000</v>
      </c>
      <c r="F185" s="159" t="s">
        <v>58</v>
      </c>
      <c r="G185" s="159">
        <v>259.74025974025972</v>
      </c>
      <c r="H185" s="159">
        <v>228.83295194508008</v>
      </c>
    </row>
    <row r="186" spans="1:8">
      <c r="A186" s="166">
        <v>42073</v>
      </c>
      <c r="B186" s="159" t="s">
        <v>121</v>
      </c>
      <c r="C186" s="159" t="s">
        <v>62</v>
      </c>
      <c r="D186" s="159" t="s">
        <v>72</v>
      </c>
      <c r="E186" s="159">
        <v>1000</v>
      </c>
      <c r="F186" s="159" t="s">
        <v>58</v>
      </c>
      <c r="G186" s="159">
        <v>259.74025974025972</v>
      </c>
      <c r="H186" s="159">
        <v>228.83295194508008</v>
      </c>
    </row>
    <row r="187" spans="1:8">
      <c r="A187" s="166">
        <v>42104</v>
      </c>
      <c r="B187" s="159" t="s">
        <v>121</v>
      </c>
      <c r="C187" s="159" t="s">
        <v>62</v>
      </c>
      <c r="D187" s="159" t="s">
        <v>72</v>
      </c>
      <c r="E187" s="159">
        <v>1000</v>
      </c>
      <c r="F187" s="159" t="s">
        <v>58</v>
      </c>
      <c r="G187" s="159">
        <v>259.74025974025972</v>
      </c>
      <c r="H187" s="159">
        <v>228.83295194508008</v>
      </c>
    </row>
    <row r="188" spans="1:8">
      <c r="A188" s="166">
        <v>42134</v>
      </c>
      <c r="B188" s="159" t="s">
        <v>121</v>
      </c>
      <c r="C188" s="159" t="s">
        <v>62</v>
      </c>
      <c r="D188" s="159" t="s">
        <v>72</v>
      </c>
      <c r="E188" s="159">
        <v>1000</v>
      </c>
      <c r="F188" s="159" t="s">
        <v>58</v>
      </c>
      <c r="G188" s="159">
        <v>259.74025974025972</v>
      </c>
      <c r="H188" s="159">
        <v>228.83295194508008</v>
      </c>
    </row>
    <row r="189" spans="1:8">
      <c r="A189" s="166">
        <v>42165</v>
      </c>
      <c r="B189" s="159" t="s">
        <v>121</v>
      </c>
      <c r="C189" s="159" t="s">
        <v>62</v>
      </c>
      <c r="D189" s="159" t="s">
        <v>72</v>
      </c>
      <c r="E189" s="159">
        <v>1000</v>
      </c>
      <c r="F189" s="159" t="s">
        <v>58</v>
      </c>
      <c r="G189" s="159">
        <v>259.74025974025972</v>
      </c>
      <c r="H189" s="159">
        <v>228.83295194508008</v>
      </c>
    </row>
    <row r="190" spans="1:8">
      <c r="A190" s="166">
        <v>42195</v>
      </c>
      <c r="B190" s="159" t="s">
        <v>121</v>
      </c>
      <c r="C190" s="159" t="s">
        <v>62</v>
      </c>
      <c r="D190" s="159" t="s">
        <v>72</v>
      </c>
      <c r="E190" s="159">
        <v>1000</v>
      </c>
      <c r="F190" s="159" t="s">
        <v>58</v>
      </c>
      <c r="G190" s="159">
        <v>259.74025974025972</v>
      </c>
      <c r="H190" s="159">
        <v>228.83295194508008</v>
      </c>
    </row>
    <row r="191" spans="1:8">
      <c r="A191" s="166">
        <v>42226</v>
      </c>
      <c r="B191" s="159" t="s">
        <v>121</v>
      </c>
      <c r="C191" s="159" t="s">
        <v>62</v>
      </c>
      <c r="D191" s="159" t="s">
        <v>72</v>
      </c>
      <c r="E191" s="159">
        <v>1000</v>
      </c>
      <c r="F191" s="159" t="s">
        <v>58</v>
      </c>
      <c r="G191" s="159">
        <v>259.74025974025972</v>
      </c>
      <c r="H191" s="159">
        <v>228.83295194508008</v>
      </c>
    </row>
    <row r="192" spans="1:8">
      <c r="A192" s="166">
        <v>42257</v>
      </c>
      <c r="B192" s="159" t="s">
        <v>121</v>
      </c>
      <c r="C192" s="159" t="s">
        <v>62</v>
      </c>
      <c r="D192" s="159" t="s">
        <v>72</v>
      </c>
      <c r="E192" s="159">
        <v>1000</v>
      </c>
      <c r="F192" s="159" t="s">
        <v>58</v>
      </c>
      <c r="G192" s="159">
        <v>259.74025974025972</v>
      </c>
      <c r="H192" s="159">
        <v>228.83295194508008</v>
      </c>
    </row>
    <row r="193" spans="1:8">
      <c r="A193" s="166">
        <v>42287</v>
      </c>
      <c r="B193" s="159" t="s">
        <v>121</v>
      </c>
      <c r="C193" s="159" t="s">
        <v>62</v>
      </c>
      <c r="D193" s="159" t="s">
        <v>72</v>
      </c>
      <c r="E193" s="159">
        <v>1000</v>
      </c>
      <c r="F193" s="159" t="s">
        <v>58</v>
      </c>
      <c r="G193" s="159">
        <v>259.74025974025972</v>
      </c>
      <c r="H193" s="159">
        <v>228.83295194508008</v>
      </c>
    </row>
    <row r="194" spans="1:8">
      <c r="A194" s="166">
        <v>42318</v>
      </c>
      <c r="B194" s="159" t="s">
        <v>121</v>
      </c>
      <c r="C194" s="159" t="s">
        <v>62</v>
      </c>
      <c r="D194" s="159" t="s">
        <v>72</v>
      </c>
      <c r="E194" s="159">
        <v>1000</v>
      </c>
      <c r="F194" s="159" t="s">
        <v>58</v>
      </c>
      <c r="G194" s="159">
        <v>259.74025974025972</v>
      </c>
      <c r="H194" s="159">
        <v>228.83295194508008</v>
      </c>
    </row>
    <row r="195" spans="1:8">
      <c r="A195" s="166">
        <v>42348</v>
      </c>
      <c r="B195" s="159" t="s">
        <v>121</v>
      </c>
      <c r="C195" s="159" t="s">
        <v>62</v>
      </c>
      <c r="D195" s="159" t="s">
        <v>72</v>
      </c>
      <c r="E195" s="159">
        <v>1000</v>
      </c>
      <c r="F195" s="159" t="s">
        <v>58</v>
      </c>
      <c r="G195" s="159">
        <v>259.74025974025972</v>
      </c>
      <c r="H195" s="159">
        <v>228.83295194508008</v>
      </c>
    </row>
    <row r="196" spans="1:8">
      <c r="A196" s="166">
        <v>42005</v>
      </c>
      <c r="B196" s="159" t="s">
        <v>122</v>
      </c>
      <c r="C196" s="159" t="s">
        <v>62</v>
      </c>
      <c r="D196" s="159" t="s">
        <v>71</v>
      </c>
      <c r="E196" s="159">
        <v>1000</v>
      </c>
      <c r="F196" s="159" t="s">
        <v>54</v>
      </c>
      <c r="G196" s="159">
        <v>259.74025974025972</v>
      </c>
      <c r="H196" s="159">
        <v>228.83295194508008</v>
      </c>
    </row>
    <row r="197" spans="1:8">
      <c r="A197" s="166">
        <v>42036</v>
      </c>
      <c r="B197" s="159" t="s">
        <v>122</v>
      </c>
      <c r="C197" s="159" t="s">
        <v>62</v>
      </c>
      <c r="D197" s="159" t="s">
        <v>71</v>
      </c>
      <c r="E197" s="159">
        <v>1000</v>
      </c>
      <c r="F197" s="159" t="s">
        <v>54</v>
      </c>
      <c r="G197" s="159">
        <v>259.74025974025972</v>
      </c>
      <c r="H197" s="159">
        <v>228.83295194508008</v>
      </c>
    </row>
    <row r="198" spans="1:8">
      <c r="A198" s="166">
        <v>42064</v>
      </c>
      <c r="B198" s="159" t="s">
        <v>122</v>
      </c>
      <c r="C198" s="159" t="s">
        <v>62</v>
      </c>
      <c r="D198" s="159" t="s">
        <v>71</v>
      </c>
      <c r="E198" s="159">
        <v>1000</v>
      </c>
      <c r="F198" s="159" t="s">
        <v>54</v>
      </c>
      <c r="G198" s="159">
        <v>259.74025974025972</v>
      </c>
      <c r="H198" s="159">
        <v>228.83295194508008</v>
      </c>
    </row>
    <row r="199" spans="1:8">
      <c r="A199" s="166">
        <v>42186</v>
      </c>
      <c r="B199" s="159" t="s">
        <v>122</v>
      </c>
      <c r="C199" s="159" t="s">
        <v>62</v>
      </c>
      <c r="D199" s="159" t="s">
        <v>71</v>
      </c>
      <c r="E199" s="159">
        <v>0</v>
      </c>
      <c r="F199" s="159" t="s">
        <v>54</v>
      </c>
      <c r="G199" s="159">
        <v>0</v>
      </c>
      <c r="H199" s="159">
        <v>0</v>
      </c>
    </row>
    <row r="200" spans="1:8">
      <c r="A200" s="166">
        <v>42217</v>
      </c>
      <c r="B200" s="159" t="s">
        <v>122</v>
      </c>
      <c r="C200" s="159" t="s">
        <v>62</v>
      </c>
      <c r="D200" s="159" t="s">
        <v>71</v>
      </c>
      <c r="E200" s="159">
        <v>0</v>
      </c>
      <c r="F200" s="159" t="s">
        <v>54</v>
      </c>
      <c r="G200" s="159">
        <v>0</v>
      </c>
      <c r="H200" s="159">
        <v>0</v>
      </c>
    </row>
    <row r="201" spans="1:8">
      <c r="A201" s="166">
        <v>42248</v>
      </c>
      <c r="B201" s="159" t="s">
        <v>122</v>
      </c>
      <c r="C201" s="159" t="s">
        <v>62</v>
      </c>
      <c r="D201" s="159" t="s">
        <v>71</v>
      </c>
      <c r="E201" s="159">
        <v>0</v>
      </c>
      <c r="F201" s="159" t="s">
        <v>54</v>
      </c>
      <c r="G201" s="159">
        <v>0</v>
      </c>
      <c r="H201" s="159">
        <v>0</v>
      </c>
    </row>
    <row r="202" spans="1:8">
      <c r="A202" s="166">
        <v>42278</v>
      </c>
      <c r="B202" s="159" t="s">
        <v>122</v>
      </c>
      <c r="C202" s="159" t="s">
        <v>62</v>
      </c>
      <c r="D202" s="159" t="s">
        <v>71</v>
      </c>
      <c r="E202" s="159">
        <v>0</v>
      </c>
      <c r="F202" s="159" t="s">
        <v>54</v>
      </c>
      <c r="G202" s="159">
        <v>0</v>
      </c>
      <c r="H202" s="159">
        <v>0</v>
      </c>
    </row>
    <row r="203" spans="1:8">
      <c r="A203" s="166">
        <v>42309</v>
      </c>
      <c r="B203" s="159" t="s">
        <v>122</v>
      </c>
      <c r="C203" s="159" t="s">
        <v>62</v>
      </c>
      <c r="D203" s="159" t="s">
        <v>71</v>
      </c>
      <c r="E203" s="159">
        <v>0</v>
      </c>
      <c r="F203" s="159" t="s">
        <v>54</v>
      </c>
      <c r="G203" s="159">
        <v>0</v>
      </c>
      <c r="H203" s="159">
        <v>0</v>
      </c>
    </row>
    <row r="204" spans="1:8">
      <c r="A204" s="166">
        <v>42339</v>
      </c>
      <c r="B204" s="159" t="s">
        <v>122</v>
      </c>
      <c r="C204" s="159" t="s">
        <v>62</v>
      </c>
      <c r="D204" s="159" t="s">
        <v>71</v>
      </c>
      <c r="E204" s="159">
        <v>0</v>
      </c>
      <c r="F204" s="159" t="s">
        <v>54</v>
      </c>
      <c r="G204" s="159">
        <v>0</v>
      </c>
      <c r="H204" s="159">
        <v>0</v>
      </c>
    </row>
    <row r="205" spans="1:8">
      <c r="A205" s="166">
        <v>42019</v>
      </c>
      <c r="B205" s="159" t="s">
        <v>123</v>
      </c>
      <c r="C205" s="159" t="s">
        <v>62</v>
      </c>
      <c r="D205" s="159" t="s">
        <v>70</v>
      </c>
      <c r="E205" s="159">
        <v>1000</v>
      </c>
      <c r="F205" s="159" t="s">
        <v>58</v>
      </c>
      <c r="G205" s="159">
        <v>259.74025974025972</v>
      </c>
      <c r="H205" s="159">
        <v>228.83295194508008</v>
      </c>
    </row>
    <row r="206" spans="1:8">
      <c r="A206" s="166">
        <v>42050</v>
      </c>
      <c r="B206" s="159" t="s">
        <v>123</v>
      </c>
      <c r="C206" s="159" t="s">
        <v>62</v>
      </c>
      <c r="D206" s="159" t="s">
        <v>70</v>
      </c>
      <c r="E206" s="159">
        <v>1000</v>
      </c>
      <c r="F206" s="159" t="s">
        <v>58</v>
      </c>
      <c r="G206" s="159">
        <v>259.74025974025972</v>
      </c>
      <c r="H206" s="159">
        <v>228.83295194508008</v>
      </c>
    </row>
    <row r="207" spans="1:8">
      <c r="A207" s="166">
        <v>42078</v>
      </c>
      <c r="B207" s="159" t="s">
        <v>123</v>
      </c>
      <c r="C207" s="159" t="s">
        <v>62</v>
      </c>
      <c r="D207" s="159" t="s">
        <v>70</v>
      </c>
      <c r="E207" s="159">
        <v>1000</v>
      </c>
      <c r="F207" s="159" t="s">
        <v>58</v>
      </c>
      <c r="G207" s="159">
        <v>259.74025974025972</v>
      </c>
      <c r="H207" s="159">
        <v>228.83295194508008</v>
      </c>
    </row>
    <row r="208" spans="1:8">
      <c r="A208" s="166">
        <v>42200</v>
      </c>
      <c r="B208" s="159" t="s">
        <v>123</v>
      </c>
      <c r="C208" s="159" t="s">
        <v>62</v>
      </c>
      <c r="D208" s="159" t="s">
        <v>70</v>
      </c>
      <c r="E208" s="159">
        <v>0</v>
      </c>
      <c r="F208" s="159" t="s">
        <v>58</v>
      </c>
      <c r="G208" s="159">
        <v>0</v>
      </c>
      <c r="H208" s="159">
        <v>0</v>
      </c>
    </row>
    <row r="209" spans="1:8">
      <c r="A209" s="166">
        <v>42231</v>
      </c>
      <c r="B209" s="159" t="s">
        <v>123</v>
      </c>
      <c r="C209" s="159" t="s">
        <v>62</v>
      </c>
      <c r="D209" s="159" t="s">
        <v>70</v>
      </c>
      <c r="E209" s="159">
        <v>0</v>
      </c>
      <c r="F209" s="159" t="s">
        <v>58</v>
      </c>
      <c r="G209" s="159">
        <v>0</v>
      </c>
      <c r="H209" s="159">
        <v>0</v>
      </c>
    </row>
    <row r="210" spans="1:8">
      <c r="A210" s="166">
        <v>42262</v>
      </c>
      <c r="B210" s="159" t="s">
        <v>123</v>
      </c>
      <c r="C210" s="159" t="s">
        <v>62</v>
      </c>
      <c r="D210" s="159" t="s">
        <v>70</v>
      </c>
      <c r="E210" s="159">
        <v>0</v>
      </c>
      <c r="F210" s="159" t="s">
        <v>58</v>
      </c>
      <c r="G210" s="159">
        <v>0</v>
      </c>
      <c r="H210" s="159">
        <v>0</v>
      </c>
    </row>
    <row r="211" spans="1:8">
      <c r="A211" s="166">
        <v>42292</v>
      </c>
      <c r="B211" s="159" t="s">
        <v>123</v>
      </c>
      <c r="C211" s="159" t="s">
        <v>62</v>
      </c>
      <c r="D211" s="159" t="s">
        <v>70</v>
      </c>
      <c r="E211" s="159">
        <v>0</v>
      </c>
      <c r="F211" s="159" t="s">
        <v>58</v>
      </c>
      <c r="G211" s="159">
        <v>0</v>
      </c>
      <c r="H211" s="159">
        <v>0</v>
      </c>
    </row>
    <row r="212" spans="1:8">
      <c r="A212" s="166">
        <v>42323</v>
      </c>
      <c r="B212" s="159" t="s">
        <v>123</v>
      </c>
      <c r="C212" s="159" t="s">
        <v>62</v>
      </c>
      <c r="D212" s="159" t="s">
        <v>70</v>
      </c>
      <c r="E212" s="159">
        <v>0</v>
      </c>
      <c r="F212" s="159" t="s">
        <v>58</v>
      </c>
      <c r="G212" s="159">
        <v>0</v>
      </c>
      <c r="H212" s="159">
        <v>0</v>
      </c>
    </row>
    <row r="213" spans="1:8">
      <c r="A213" s="166">
        <v>42353</v>
      </c>
      <c r="B213" s="159" t="s">
        <v>123</v>
      </c>
      <c r="C213" s="159" t="s">
        <v>62</v>
      </c>
      <c r="D213" s="159" t="s">
        <v>70</v>
      </c>
      <c r="E213" s="159">
        <v>0</v>
      </c>
      <c r="F213" s="159" t="s">
        <v>58</v>
      </c>
      <c r="G213" s="159">
        <v>0</v>
      </c>
      <c r="H213" s="159">
        <v>0</v>
      </c>
    </row>
    <row r="214" spans="1:8">
      <c r="A214" s="166">
        <v>42029</v>
      </c>
      <c r="B214" s="159" t="s">
        <v>124</v>
      </c>
      <c r="C214" s="159" t="s">
        <v>62</v>
      </c>
      <c r="D214" s="159" t="s">
        <v>71</v>
      </c>
      <c r="E214" s="159">
        <v>1000</v>
      </c>
      <c r="F214" s="159" t="s">
        <v>54</v>
      </c>
      <c r="G214" s="159">
        <v>259.74025974025972</v>
      </c>
      <c r="H214" s="159">
        <v>228.83295194508008</v>
      </c>
    </row>
    <row r="215" spans="1:8">
      <c r="A215" s="166">
        <v>42060</v>
      </c>
      <c r="B215" s="159" t="s">
        <v>124</v>
      </c>
      <c r="C215" s="159" t="s">
        <v>62</v>
      </c>
      <c r="D215" s="159" t="s">
        <v>71</v>
      </c>
      <c r="E215" s="159">
        <v>1000</v>
      </c>
      <c r="F215" s="159" t="s">
        <v>54</v>
      </c>
      <c r="G215" s="159">
        <v>259.74025974025972</v>
      </c>
      <c r="H215" s="159">
        <v>228.83295194508008</v>
      </c>
    </row>
    <row r="216" spans="1:8">
      <c r="A216" s="166">
        <v>42088</v>
      </c>
      <c r="B216" s="159" t="s">
        <v>124</v>
      </c>
      <c r="C216" s="159" t="s">
        <v>62</v>
      </c>
      <c r="D216" s="159" t="s">
        <v>71</v>
      </c>
      <c r="E216" s="159">
        <v>1000</v>
      </c>
      <c r="F216" s="159" t="s">
        <v>54</v>
      </c>
      <c r="G216" s="159">
        <v>259.74025974025972</v>
      </c>
      <c r="H216" s="159">
        <v>228.83295194508008</v>
      </c>
    </row>
    <row r="217" spans="1:8">
      <c r="A217" s="166">
        <v>42210</v>
      </c>
      <c r="B217" s="159" t="s">
        <v>124</v>
      </c>
      <c r="C217" s="159" t="s">
        <v>62</v>
      </c>
      <c r="D217" s="159" t="s">
        <v>71</v>
      </c>
      <c r="E217" s="159">
        <v>0</v>
      </c>
      <c r="F217" s="159" t="s">
        <v>54</v>
      </c>
      <c r="G217" s="159">
        <v>0</v>
      </c>
      <c r="H217" s="159">
        <v>0</v>
      </c>
    </row>
    <row r="218" spans="1:8">
      <c r="A218" s="166">
        <v>42241</v>
      </c>
      <c r="B218" s="159" t="s">
        <v>124</v>
      </c>
      <c r="C218" s="159" t="s">
        <v>62</v>
      </c>
      <c r="D218" s="159" t="s">
        <v>71</v>
      </c>
      <c r="E218" s="159">
        <v>0</v>
      </c>
      <c r="F218" s="159" t="s">
        <v>54</v>
      </c>
      <c r="G218" s="159">
        <v>0</v>
      </c>
      <c r="H218" s="159">
        <v>0</v>
      </c>
    </row>
    <row r="219" spans="1:8">
      <c r="A219" s="166">
        <v>42272</v>
      </c>
      <c r="B219" s="159" t="s">
        <v>124</v>
      </c>
      <c r="C219" s="159" t="s">
        <v>62</v>
      </c>
      <c r="D219" s="159" t="s">
        <v>71</v>
      </c>
      <c r="E219" s="159">
        <v>0</v>
      </c>
      <c r="F219" s="159" t="s">
        <v>54</v>
      </c>
      <c r="G219" s="159">
        <v>0</v>
      </c>
      <c r="H219" s="159">
        <v>0</v>
      </c>
    </row>
    <row r="220" spans="1:8">
      <c r="A220" s="166">
        <v>42302</v>
      </c>
      <c r="B220" s="159" t="s">
        <v>124</v>
      </c>
      <c r="C220" s="159" t="s">
        <v>62</v>
      </c>
      <c r="D220" s="159" t="s">
        <v>71</v>
      </c>
      <c r="E220" s="159">
        <v>0</v>
      </c>
      <c r="F220" s="159" t="s">
        <v>54</v>
      </c>
      <c r="G220" s="159">
        <v>0</v>
      </c>
      <c r="H220" s="159">
        <v>0</v>
      </c>
    </row>
    <row r="221" spans="1:8">
      <c r="A221" s="166">
        <v>42333</v>
      </c>
      <c r="B221" s="159" t="s">
        <v>124</v>
      </c>
      <c r="C221" s="159" t="s">
        <v>62</v>
      </c>
      <c r="D221" s="159" t="s">
        <v>71</v>
      </c>
      <c r="E221" s="159">
        <v>0</v>
      </c>
      <c r="F221" s="159" t="s">
        <v>54</v>
      </c>
      <c r="G221" s="159">
        <v>0</v>
      </c>
      <c r="H221" s="159">
        <v>0</v>
      </c>
    </row>
    <row r="222" spans="1:8">
      <c r="A222" s="166">
        <v>42363</v>
      </c>
      <c r="B222" s="159" t="s">
        <v>124</v>
      </c>
      <c r="C222" s="159" t="s">
        <v>62</v>
      </c>
      <c r="D222" s="159" t="s">
        <v>71</v>
      </c>
      <c r="E222" s="159">
        <v>0</v>
      </c>
      <c r="F222" s="159" t="s">
        <v>54</v>
      </c>
      <c r="G222" s="159">
        <v>0</v>
      </c>
      <c r="H222" s="159">
        <v>0</v>
      </c>
    </row>
    <row r="223" spans="1:8">
      <c r="A223" s="166">
        <v>42014</v>
      </c>
      <c r="B223" s="159" t="s">
        <v>125</v>
      </c>
      <c r="C223" s="159" t="s">
        <v>62</v>
      </c>
      <c r="D223" s="159" t="s">
        <v>69</v>
      </c>
      <c r="E223" s="159">
        <v>1000</v>
      </c>
      <c r="F223" s="159" t="s">
        <v>55</v>
      </c>
      <c r="G223" s="159">
        <v>259.74025974025972</v>
      </c>
      <c r="H223" s="159">
        <v>228.83295194508008</v>
      </c>
    </row>
    <row r="224" spans="1:8">
      <c r="A224" s="166">
        <v>42045</v>
      </c>
      <c r="B224" s="159" t="s">
        <v>125</v>
      </c>
      <c r="C224" s="159" t="s">
        <v>62</v>
      </c>
      <c r="D224" s="159" t="s">
        <v>69</v>
      </c>
      <c r="E224" s="159">
        <v>1000</v>
      </c>
      <c r="F224" s="159" t="s">
        <v>55</v>
      </c>
      <c r="G224" s="159">
        <v>259.74025974025972</v>
      </c>
      <c r="H224" s="159">
        <v>228.83295194508008</v>
      </c>
    </row>
    <row r="225" spans="1:8">
      <c r="A225" s="166">
        <v>42073</v>
      </c>
      <c r="B225" s="159" t="s">
        <v>125</v>
      </c>
      <c r="C225" s="159" t="s">
        <v>62</v>
      </c>
      <c r="D225" s="159" t="s">
        <v>69</v>
      </c>
      <c r="E225" s="159">
        <v>1000</v>
      </c>
      <c r="F225" s="159" t="s">
        <v>55</v>
      </c>
      <c r="G225" s="159">
        <v>259.74025974025972</v>
      </c>
      <c r="H225" s="159">
        <v>228.83295194508008</v>
      </c>
    </row>
    <row r="226" spans="1:8">
      <c r="A226" s="166">
        <v>42195</v>
      </c>
      <c r="B226" s="159" t="s">
        <v>125</v>
      </c>
      <c r="C226" s="159" t="s">
        <v>62</v>
      </c>
      <c r="D226" s="159" t="s">
        <v>69</v>
      </c>
      <c r="E226" s="159">
        <v>0</v>
      </c>
      <c r="F226" s="159" t="s">
        <v>55</v>
      </c>
      <c r="G226" s="159">
        <v>0</v>
      </c>
      <c r="H226" s="159">
        <v>0</v>
      </c>
    </row>
    <row r="227" spans="1:8">
      <c r="A227" s="166">
        <v>42226</v>
      </c>
      <c r="B227" s="159" t="s">
        <v>125</v>
      </c>
      <c r="C227" s="159" t="s">
        <v>62</v>
      </c>
      <c r="D227" s="159" t="s">
        <v>69</v>
      </c>
      <c r="E227" s="159">
        <v>0</v>
      </c>
      <c r="F227" s="159" t="s">
        <v>55</v>
      </c>
      <c r="G227" s="159">
        <v>0</v>
      </c>
      <c r="H227" s="159">
        <v>0</v>
      </c>
    </row>
    <row r="228" spans="1:8">
      <c r="A228" s="166">
        <v>42257</v>
      </c>
      <c r="B228" s="159" t="s">
        <v>125</v>
      </c>
      <c r="C228" s="159" t="s">
        <v>62</v>
      </c>
      <c r="D228" s="159" t="s">
        <v>69</v>
      </c>
      <c r="E228" s="159">
        <v>0</v>
      </c>
      <c r="F228" s="159" t="s">
        <v>55</v>
      </c>
      <c r="G228" s="159">
        <v>0</v>
      </c>
      <c r="H228" s="159">
        <v>0</v>
      </c>
    </row>
    <row r="229" spans="1:8">
      <c r="A229" s="166">
        <v>42287</v>
      </c>
      <c r="B229" s="159" t="s">
        <v>125</v>
      </c>
      <c r="C229" s="159" t="s">
        <v>62</v>
      </c>
      <c r="D229" s="159" t="s">
        <v>69</v>
      </c>
      <c r="E229" s="159">
        <v>0</v>
      </c>
      <c r="F229" s="159" t="s">
        <v>55</v>
      </c>
      <c r="G229" s="159">
        <v>0</v>
      </c>
      <c r="H229" s="159">
        <v>0</v>
      </c>
    </row>
    <row r="230" spans="1:8">
      <c r="A230" s="166">
        <v>42318</v>
      </c>
      <c r="B230" s="159" t="s">
        <v>125</v>
      </c>
      <c r="C230" s="159" t="s">
        <v>62</v>
      </c>
      <c r="D230" s="159" t="s">
        <v>69</v>
      </c>
      <c r="E230" s="159">
        <v>0</v>
      </c>
      <c r="F230" s="159" t="s">
        <v>55</v>
      </c>
      <c r="G230" s="159">
        <v>0</v>
      </c>
      <c r="H230" s="159">
        <v>0</v>
      </c>
    </row>
    <row r="231" spans="1:8">
      <c r="A231" s="166">
        <v>42348</v>
      </c>
      <c r="B231" s="159" t="s">
        <v>125</v>
      </c>
      <c r="C231" s="159" t="s">
        <v>62</v>
      </c>
      <c r="D231" s="159" t="s">
        <v>69</v>
      </c>
      <c r="E231" s="159">
        <v>0</v>
      </c>
      <c r="F231" s="159" t="s">
        <v>55</v>
      </c>
      <c r="G231" s="159">
        <v>0</v>
      </c>
      <c r="H231" s="159">
        <v>0</v>
      </c>
    </row>
    <row r="232" spans="1:8">
      <c r="A232" s="166">
        <v>42019</v>
      </c>
      <c r="B232" s="159" t="s">
        <v>128</v>
      </c>
      <c r="C232" s="159" t="s">
        <v>62</v>
      </c>
      <c r="D232" s="159" t="s">
        <v>69</v>
      </c>
      <c r="E232" s="159">
        <v>1000</v>
      </c>
      <c r="F232" s="159" t="s">
        <v>58</v>
      </c>
      <c r="G232" s="159">
        <v>259.74025974025972</v>
      </c>
      <c r="H232" s="159">
        <v>228.83295194508008</v>
      </c>
    </row>
    <row r="233" spans="1:8">
      <c r="A233" s="166">
        <v>42050</v>
      </c>
      <c r="B233" s="159" t="s">
        <v>128</v>
      </c>
      <c r="C233" s="159" t="s">
        <v>62</v>
      </c>
      <c r="D233" s="159" t="s">
        <v>69</v>
      </c>
      <c r="E233" s="159">
        <v>1000</v>
      </c>
      <c r="F233" s="159" t="s">
        <v>58</v>
      </c>
      <c r="G233" s="159">
        <v>259.74025974025972</v>
      </c>
      <c r="H233" s="159">
        <v>228.83295194508008</v>
      </c>
    </row>
    <row r="234" spans="1:8">
      <c r="A234" s="166">
        <v>42078</v>
      </c>
      <c r="B234" s="159" t="s">
        <v>128</v>
      </c>
      <c r="C234" s="159" t="s">
        <v>62</v>
      </c>
      <c r="D234" s="159" t="s">
        <v>69</v>
      </c>
      <c r="E234" s="159">
        <v>1000</v>
      </c>
      <c r="F234" s="159" t="s">
        <v>58</v>
      </c>
      <c r="G234" s="159">
        <v>259.74025974025972</v>
      </c>
      <c r="H234" s="159">
        <v>228.83295194508008</v>
      </c>
    </row>
    <row r="235" spans="1:8">
      <c r="A235" s="166">
        <v>42200</v>
      </c>
      <c r="B235" s="159" t="s">
        <v>128</v>
      </c>
      <c r="C235" s="159" t="s">
        <v>62</v>
      </c>
      <c r="D235" s="159" t="s">
        <v>69</v>
      </c>
      <c r="E235" s="159">
        <v>0</v>
      </c>
      <c r="F235" s="159" t="s">
        <v>58</v>
      </c>
      <c r="G235" s="159">
        <v>0</v>
      </c>
      <c r="H235" s="159">
        <v>0</v>
      </c>
    </row>
    <row r="236" spans="1:8">
      <c r="A236" s="166">
        <v>42231</v>
      </c>
      <c r="B236" s="159" t="s">
        <v>128</v>
      </c>
      <c r="C236" s="159" t="s">
        <v>62</v>
      </c>
      <c r="D236" s="159" t="s">
        <v>69</v>
      </c>
      <c r="E236" s="159">
        <v>0</v>
      </c>
      <c r="F236" s="159" t="s">
        <v>58</v>
      </c>
      <c r="G236" s="159">
        <v>0</v>
      </c>
      <c r="H236" s="159">
        <v>0</v>
      </c>
    </row>
    <row r="237" spans="1:8">
      <c r="A237" s="166">
        <v>42262</v>
      </c>
      <c r="B237" s="159" t="s">
        <v>128</v>
      </c>
      <c r="C237" s="159" t="s">
        <v>62</v>
      </c>
      <c r="D237" s="159" t="s">
        <v>69</v>
      </c>
      <c r="E237" s="159">
        <v>0</v>
      </c>
      <c r="F237" s="159" t="s">
        <v>58</v>
      </c>
      <c r="G237" s="159">
        <v>0</v>
      </c>
      <c r="H237" s="159">
        <v>0</v>
      </c>
    </row>
    <row r="238" spans="1:8">
      <c r="A238" s="166">
        <v>42292</v>
      </c>
      <c r="B238" s="159" t="s">
        <v>128</v>
      </c>
      <c r="C238" s="159" t="s">
        <v>62</v>
      </c>
      <c r="D238" s="159" t="s">
        <v>69</v>
      </c>
      <c r="E238" s="159">
        <v>0</v>
      </c>
      <c r="F238" s="159" t="s">
        <v>58</v>
      </c>
      <c r="G238" s="159">
        <v>0</v>
      </c>
      <c r="H238" s="159">
        <v>0</v>
      </c>
    </row>
    <row r="239" spans="1:8">
      <c r="A239" s="166">
        <v>42323</v>
      </c>
      <c r="B239" s="159" t="s">
        <v>128</v>
      </c>
      <c r="C239" s="159" t="s">
        <v>62</v>
      </c>
      <c r="D239" s="159" t="s">
        <v>69</v>
      </c>
      <c r="E239" s="159">
        <v>0</v>
      </c>
      <c r="F239" s="159" t="s">
        <v>58</v>
      </c>
      <c r="G239" s="159">
        <v>0</v>
      </c>
      <c r="H239" s="159">
        <v>0</v>
      </c>
    </row>
    <row r="240" spans="1:8">
      <c r="A240" s="166">
        <v>42353</v>
      </c>
      <c r="B240" s="159" t="s">
        <v>128</v>
      </c>
      <c r="C240" s="159" t="s">
        <v>62</v>
      </c>
      <c r="D240" s="159" t="s">
        <v>69</v>
      </c>
      <c r="E240" s="159">
        <v>0</v>
      </c>
      <c r="F240" s="159" t="s">
        <v>58</v>
      </c>
      <c r="G240" s="159">
        <v>0</v>
      </c>
      <c r="H240" s="159">
        <v>0</v>
      </c>
    </row>
    <row r="241" spans="1:8">
      <c r="A241" s="166">
        <v>42019</v>
      </c>
      <c r="B241" s="159" t="s">
        <v>130</v>
      </c>
      <c r="C241" s="159" t="s">
        <v>62</v>
      </c>
      <c r="D241" s="159" t="s">
        <v>72</v>
      </c>
      <c r="E241" s="159">
        <v>1000</v>
      </c>
      <c r="F241" s="159" t="s">
        <v>58</v>
      </c>
      <c r="G241" s="159">
        <v>259.74025974025972</v>
      </c>
      <c r="H241" s="159">
        <v>228.83295194508008</v>
      </c>
    </row>
    <row r="242" spans="1:8">
      <c r="A242" s="166">
        <v>42050</v>
      </c>
      <c r="B242" s="159" t="s">
        <v>130</v>
      </c>
      <c r="C242" s="159" t="s">
        <v>62</v>
      </c>
      <c r="D242" s="159" t="s">
        <v>72</v>
      </c>
      <c r="E242" s="159">
        <v>1000</v>
      </c>
      <c r="F242" s="159" t="s">
        <v>58</v>
      </c>
      <c r="G242" s="159">
        <v>259.74025974025972</v>
      </c>
      <c r="H242" s="159">
        <v>228.83295194508008</v>
      </c>
    </row>
    <row r="243" spans="1:8">
      <c r="A243" s="166">
        <v>42078</v>
      </c>
      <c r="B243" s="159" t="s">
        <v>130</v>
      </c>
      <c r="C243" s="159" t="s">
        <v>62</v>
      </c>
      <c r="D243" s="159" t="s">
        <v>72</v>
      </c>
      <c r="E243" s="159">
        <v>1000</v>
      </c>
      <c r="F243" s="159" t="s">
        <v>58</v>
      </c>
      <c r="G243" s="159">
        <v>259.74025974025972</v>
      </c>
      <c r="H243" s="159">
        <v>228.83295194508008</v>
      </c>
    </row>
    <row r="244" spans="1:8">
      <c r="A244" s="166">
        <v>42200</v>
      </c>
      <c r="B244" s="159" t="s">
        <v>130</v>
      </c>
      <c r="C244" s="159" t="s">
        <v>62</v>
      </c>
      <c r="D244" s="159" t="s">
        <v>72</v>
      </c>
      <c r="E244" s="159">
        <v>0</v>
      </c>
      <c r="F244" s="159" t="s">
        <v>58</v>
      </c>
      <c r="G244" s="159">
        <v>0</v>
      </c>
      <c r="H244" s="159">
        <v>0</v>
      </c>
    </row>
    <row r="245" spans="1:8">
      <c r="A245" s="166">
        <v>42231</v>
      </c>
      <c r="B245" s="159" t="s">
        <v>130</v>
      </c>
      <c r="C245" s="159" t="s">
        <v>62</v>
      </c>
      <c r="D245" s="159" t="s">
        <v>72</v>
      </c>
      <c r="E245" s="159">
        <v>0</v>
      </c>
      <c r="F245" s="159" t="s">
        <v>58</v>
      </c>
      <c r="G245" s="159">
        <v>0</v>
      </c>
      <c r="H245" s="159">
        <v>0</v>
      </c>
    </row>
    <row r="246" spans="1:8">
      <c r="A246" s="166">
        <v>42262</v>
      </c>
      <c r="B246" s="159" t="s">
        <v>130</v>
      </c>
      <c r="C246" s="159" t="s">
        <v>62</v>
      </c>
      <c r="D246" s="159" t="s">
        <v>72</v>
      </c>
      <c r="E246" s="159">
        <v>0</v>
      </c>
      <c r="F246" s="159" t="s">
        <v>58</v>
      </c>
      <c r="G246" s="159">
        <v>0</v>
      </c>
      <c r="H246" s="159">
        <v>0</v>
      </c>
    </row>
    <row r="247" spans="1:8">
      <c r="A247" s="166">
        <v>42292</v>
      </c>
      <c r="B247" s="159" t="s">
        <v>130</v>
      </c>
      <c r="C247" s="159" t="s">
        <v>62</v>
      </c>
      <c r="D247" s="159" t="s">
        <v>72</v>
      </c>
      <c r="E247" s="159">
        <v>0</v>
      </c>
      <c r="F247" s="159" t="s">
        <v>58</v>
      </c>
      <c r="G247" s="159">
        <v>0</v>
      </c>
      <c r="H247" s="159">
        <v>0</v>
      </c>
    </row>
    <row r="248" spans="1:8">
      <c r="A248" s="166">
        <v>42323</v>
      </c>
      <c r="B248" s="159" t="s">
        <v>130</v>
      </c>
      <c r="C248" s="159" t="s">
        <v>62</v>
      </c>
      <c r="D248" s="159" t="s">
        <v>72</v>
      </c>
      <c r="E248" s="159">
        <v>0</v>
      </c>
      <c r="F248" s="159" t="s">
        <v>58</v>
      </c>
      <c r="G248" s="159">
        <v>0</v>
      </c>
      <c r="H248" s="159">
        <v>0</v>
      </c>
    </row>
    <row r="249" spans="1:8">
      <c r="A249" s="166">
        <v>42353</v>
      </c>
      <c r="B249" s="159" t="s">
        <v>130</v>
      </c>
      <c r="C249" s="159" t="s">
        <v>62</v>
      </c>
      <c r="D249" s="159" t="s">
        <v>72</v>
      </c>
      <c r="E249" s="159">
        <v>0</v>
      </c>
      <c r="F249" s="159" t="s">
        <v>58</v>
      </c>
      <c r="G249" s="159">
        <v>0</v>
      </c>
      <c r="H249" s="159">
        <v>0</v>
      </c>
    </row>
    <row r="250" spans="1:8">
      <c r="A250" s="166">
        <v>42019</v>
      </c>
      <c r="B250" s="159" t="s">
        <v>129</v>
      </c>
      <c r="C250" s="159" t="s">
        <v>62</v>
      </c>
      <c r="D250" s="159" t="s">
        <v>72</v>
      </c>
      <c r="E250" s="159">
        <v>1000</v>
      </c>
      <c r="F250" s="159" t="s">
        <v>58</v>
      </c>
      <c r="G250" s="159">
        <v>259.74025974025972</v>
      </c>
      <c r="H250" s="159">
        <v>228.83295194508008</v>
      </c>
    </row>
    <row r="251" spans="1:8">
      <c r="A251" s="166">
        <v>42050</v>
      </c>
      <c r="B251" s="159" t="s">
        <v>129</v>
      </c>
      <c r="C251" s="159" t="s">
        <v>62</v>
      </c>
      <c r="D251" s="159" t="s">
        <v>72</v>
      </c>
      <c r="E251" s="159">
        <v>1000</v>
      </c>
      <c r="F251" s="159" t="s">
        <v>58</v>
      </c>
      <c r="G251" s="159">
        <v>259.74025974025972</v>
      </c>
      <c r="H251" s="159">
        <v>228.83295194508008</v>
      </c>
    </row>
    <row r="252" spans="1:8">
      <c r="A252" s="166">
        <v>42078</v>
      </c>
      <c r="B252" s="159" t="s">
        <v>129</v>
      </c>
      <c r="C252" s="159" t="s">
        <v>62</v>
      </c>
      <c r="D252" s="159" t="s">
        <v>72</v>
      </c>
      <c r="E252" s="159">
        <v>1000</v>
      </c>
      <c r="F252" s="159" t="s">
        <v>58</v>
      </c>
      <c r="G252" s="159">
        <v>259.74025974025972</v>
      </c>
      <c r="H252" s="159">
        <v>228.83295194508008</v>
      </c>
    </row>
    <row r="253" spans="1:8">
      <c r="A253" s="166">
        <v>42200</v>
      </c>
      <c r="B253" s="159" t="s">
        <v>129</v>
      </c>
      <c r="C253" s="159" t="s">
        <v>62</v>
      </c>
      <c r="D253" s="159" t="s">
        <v>72</v>
      </c>
      <c r="E253" s="159">
        <v>0</v>
      </c>
      <c r="F253" s="159" t="s">
        <v>58</v>
      </c>
      <c r="G253" s="159">
        <v>0</v>
      </c>
      <c r="H253" s="159">
        <v>0</v>
      </c>
    </row>
    <row r="254" spans="1:8">
      <c r="A254" s="166">
        <v>42231</v>
      </c>
      <c r="B254" s="159" t="s">
        <v>129</v>
      </c>
      <c r="C254" s="159" t="s">
        <v>62</v>
      </c>
      <c r="D254" s="159" t="s">
        <v>72</v>
      </c>
      <c r="E254" s="159">
        <v>0</v>
      </c>
      <c r="F254" s="159" t="s">
        <v>58</v>
      </c>
      <c r="G254" s="159">
        <v>0</v>
      </c>
      <c r="H254" s="159">
        <v>0</v>
      </c>
    </row>
    <row r="255" spans="1:8">
      <c r="A255" s="166">
        <v>42262</v>
      </c>
      <c r="B255" s="159" t="s">
        <v>129</v>
      </c>
      <c r="C255" s="159" t="s">
        <v>62</v>
      </c>
      <c r="D255" s="159" t="s">
        <v>72</v>
      </c>
      <c r="E255" s="159">
        <v>0</v>
      </c>
      <c r="F255" s="159" t="s">
        <v>58</v>
      </c>
      <c r="G255" s="159">
        <v>0</v>
      </c>
      <c r="H255" s="159">
        <v>0</v>
      </c>
    </row>
    <row r="256" spans="1:8">
      <c r="A256" s="166">
        <v>42292</v>
      </c>
      <c r="B256" s="159" t="s">
        <v>129</v>
      </c>
      <c r="C256" s="159" t="s">
        <v>62</v>
      </c>
      <c r="D256" s="159" t="s">
        <v>72</v>
      </c>
      <c r="E256" s="159">
        <v>0</v>
      </c>
      <c r="F256" s="159" t="s">
        <v>58</v>
      </c>
      <c r="G256" s="159">
        <v>0</v>
      </c>
      <c r="H256" s="159">
        <v>0</v>
      </c>
    </row>
    <row r="257" spans="1:8">
      <c r="A257" s="166">
        <v>42323</v>
      </c>
      <c r="B257" s="159" t="s">
        <v>129</v>
      </c>
      <c r="C257" s="159" t="s">
        <v>62</v>
      </c>
      <c r="D257" s="159" t="s">
        <v>72</v>
      </c>
      <c r="E257" s="159">
        <v>0</v>
      </c>
      <c r="F257" s="159" t="s">
        <v>58</v>
      </c>
      <c r="G257" s="159">
        <v>0</v>
      </c>
      <c r="H257" s="159">
        <v>0</v>
      </c>
    </row>
    <row r="258" spans="1:8">
      <c r="A258" s="166">
        <v>42353</v>
      </c>
      <c r="B258" s="159" t="s">
        <v>129</v>
      </c>
      <c r="C258" s="159" t="s">
        <v>62</v>
      </c>
      <c r="D258" s="159" t="s">
        <v>72</v>
      </c>
      <c r="E258" s="159">
        <v>0</v>
      </c>
      <c r="F258" s="159" t="s">
        <v>58</v>
      </c>
      <c r="G258" s="159">
        <v>0</v>
      </c>
      <c r="H258" s="159">
        <v>0</v>
      </c>
    </row>
    <row r="259" spans="1:8">
      <c r="A259" s="166">
        <v>42019</v>
      </c>
      <c r="B259" s="159" t="s">
        <v>131</v>
      </c>
      <c r="C259" s="159" t="s">
        <v>62</v>
      </c>
      <c r="D259" s="159" t="s">
        <v>72</v>
      </c>
      <c r="E259" s="159">
        <v>1000</v>
      </c>
      <c r="F259" s="159" t="s">
        <v>58</v>
      </c>
      <c r="G259" s="159">
        <v>259.74025974025972</v>
      </c>
      <c r="H259" s="159">
        <v>228.83295194508008</v>
      </c>
    </row>
    <row r="260" spans="1:8">
      <c r="A260" s="166">
        <v>42050</v>
      </c>
      <c r="B260" s="159" t="s">
        <v>131</v>
      </c>
      <c r="C260" s="159" t="s">
        <v>62</v>
      </c>
      <c r="D260" s="159" t="s">
        <v>72</v>
      </c>
      <c r="E260" s="159">
        <v>1000</v>
      </c>
      <c r="F260" s="159" t="s">
        <v>58</v>
      </c>
      <c r="G260" s="159">
        <v>259.74025974025972</v>
      </c>
      <c r="H260" s="159">
        <v>228.83295194508008</v>
      </c>
    </row>
    <row r="261" spans="1:8">
      <c r="A261" s="166">
        <v>42078</v>
      </c>
      <c r="B261" s="159" t="s">
        <v>131</v>
      </c>
      <c r="C261" s="159" t="s">
        <v>62</v>
      </c>
      <c r="D261" s="159" t="s">
        <v>72</v>
      </c>
      <c r="E261" s="159">
        <v>1000</v>
      </c>
      <c r="F261" s="159" t="s">
        <v>58</v>
      </c>
      <c r="G261" s="159">
        <v>259.74025974025972</v>
      </c>
      <c r="H261" s="159">
        <v>228.83295194508008</v>
      </c>
    </row>
    <row r="262" spans="1:8">
      <c r="A262" s="166">
        <v>42200</v>
      </c>
      <c r="B262" s="159" t="s">
        <v>131</v>
      </c>
      <c r="C262" s="159" t="s">
        <v>62</v>
      </c>
      <c r="D262" s="159" t="s">
        <v>72</v>
      </c>
      <c r="E262" s="159">
        <v>0</v>
      </c>
      <c r="F262" s="159" t="s">
        <v>58</v>
      </c>
      <c r="G262" s="159">
        <v>0</v>
      </c>
      <c r="H262" s="159">
        <v>0</v>
      </c>
    </row>
    <row r="263" spans="1:8">
      <c r="A263" s="166">
        <v>42231</v>
      </c>
      <c r="B263" s="159" t="s">
        <v>131</v>
      </c>
      <c r="C263" s="159" t="s">
        <v>62</v>
      </c>
      <c r="D263" s="159" t="s">
        <v>72</v>
      </c>
      <c r="E263" s="159">
        <v>0</v>
      </c>
      <c r="F263" s="159" t="s">
        <v>58</v>
      </c>
      <c r="G263" s="159">
        <v>0</v>
      </c>
      <c r="H263" s="159">
        <v>0</v>
      </c>
    </row>
    <row r="264" spans="1:8">
      <c r="A264" s="166">
        <v>42262</v>
      </c>
      <c r="B264" s="159" t="s">
        <v>131</v>
      </c>
      <c r="C264" s="159" t="s">
        <v>62</v>
      </c>
      <c r="D264" s="159" t="s">
        <v>72</v>
      </c>
      <c r="E264" s="159">
        <v>0</v>
      </c>
      <c r="F264" s="159" t="s">
        <v>58</v>
      </c>
      <c r="G264" s="159">
        <v>0</v>
      </c>
      <c r="H264" s="159">
        <v>0</v>
      </c>
    </row>
    <row r="265" spans="1:8">
      <c r="A265" s="166">
        <v>42292</v>
      </c>
      <c r="B265" s="159" t="s">
        <v>131</v>
      </c>
      <c r="C265" s="159" t="s">
        <v>62</v>
      </c>
      <c r="D265" s="159" t="s">
        <v>72</v>
      </c>
      <c r="E265" s="159">
        <v>0</v>
      </c>
      <c r="F265" s="159" t="s">
        <v>58</v>
      </c>
      <c r="G265" s="159">
        <v>0</v>
      </c>
      <c r="H265" s="159">
        <v>0</v>
      </c>
    </row>
    <row r="266" spans="1:8">
      <c r="A266" s="166">
        <v>42323</v>
      </c>
      <c r="B266" s="159" t="s">
        <v>131</v>
      </c>
      <c r="C266" s="159" t="s">
        <v>62</v>
      </c>
      <c r="D266" s="159" t="s">
        <v>72</v>
      </c>
      <c r="E266" s="159">
        <v>0</v>
      </c>
      <c r="F266" s="159" t="s">
        <v>58</v>
      </c>
      <c r="G266" s="159">
        <v>0</v>
      </c>
      <c r="H266" s="159">
        <v>0</v>
      </c>
    </row>
    <row r="267" spans="1:8">
      <c r="A267" s="166">
        <v>42353</v>
      </c>
      <c r="B267" s="159" t="s">
        <v>131</v>
      </c>
      <c r="C267" s="159" t="s">
        <v>62</v>
      </c>
      <c r="D267" s="159" t="s">
        <v>72</v>
      </c>
      <c r="E267" s="159">
        <v>0</v>
      </c>
      <c r="F267" s="159" t="s">
        <v>58</v>
      </c>
      <c r="G267" s="159">
        <v>0</v>
      </c>
      <c r="H267" s="159">
        <v>0</v>
      </c>
    </row>
    <row r="268" spans="1:8">
      <c r="A268" s="166">
        <v>42019</v>
      </c>
      <c r="B268" s="159" t="s">
        <v>132</v>
      </c>
      <c r="C268" s="159" t="s">
        <v>62</v>
      </c>
      <c r="D268" s="159" t="s">
        <v>69</v>
      </c>
      <c r="E268" s="159">
        <v>1000</v>
      </c>
      <c r="F268" s="159" t="s">
        <v>58</v>
      </c>
      <c r="G268" s="159">
        <v>259.74025974025972</v>
      </c>
      <c r="H268" s="159">
        <v>228.83295194508008</v>
      </c>
    </row>
    <row r="269" spans="1:8">
      <c r="A269" s="166">
        <v>42050</v>
      </c>
      <c r="B269" s="159" t="s">
        <v>132</v>
      </c>
      <c r="C269" s="159" t="s">
        <v>62</v>
      </c>
      <c r="D269" s="159" t="s">
        <v>69</v>
      </c>
      <c r="E269" s="159">
        <v>1000</v>
      </c>
      <c r="F269" s="159" t="s">
        <v>58</v>
      </c>
      <c r="G269" s="159">
        <v>259.74025974025972</v>
      </c>
      <c r="H269" s="159">
        <v>228.83295194508008</v>
      </c>
    </row>
    <row r="270" spans="1:8">
      <c r="A270" s="166">
        <v>42078</v>
      </c>
      <c r="B270" s="159" t="s">
        <v>132</v>
      </c>
      <c r="C270" s="159" t="s">
        <v>62</v>
      </c>
      <c r="D270" s="159" t="s">
        <v>69</v>
      </c>
      <c r="E270" s="159">
        <v>1000</v>
      </c>
      <c r="F270" s="159" t="s">
        <v>58</v>
      </c>
      <c r="G270" s="159">
        <v>259.74025974025972</v>
      </c>
      <c r="H270" s="159">
        <v>228.83295194508008</v>
      </c>
    </row>
    <row r="271" spans="1:8">
      <c r="A271" s="166">
        <v>42200</v>
      </c>
      <c r="B271" s="159" t="s">
        <v>132</v>
      </c>
      <c r="C271" s="159" t="s">
        <v>62</v>
      </c>
      <c r="D271" s="159" t="s">
        <v>69</v>
      </c>
      <c r="E271" s="159">
        <v>0</v>
      </c>
      <c r="F271" s="159" t="s">
        <v>58</v>
      </c>
      <c r="G271" s="159">
        <v>0</v>
      </c>
      <c r="H271" s="159">
        <v>0</v>
      </c>
    </row>
    <row r="272" spans="1:8">
      <c r="A272" s="166">
        <v>42231</v>
      </c>
      <c r="B272" s="159" t="s">
        <v>132</v>
      </c>
      <c r="C272" s="159" t="s">
        <v>62</v>
      </c>
      <c r="D272" s="159" t="s">
        <v>69</v>
      </c>
      <c r="E272" s="159">
        <v>0</v>
      </c>
      <c r="F272" s="159" t="s">
        <v>58</v>
      </c>
      <c r="G272" s="159">
        <v>0</v>
      </c>
      <c r="H272" s="159">
        <v>0</v>
      </c>
    </row>
    <row r="273" spans="1:8">
      <c r="A273" s="166">
        <v>42262</v>
      </c>
      <c r="B273" s="159" t="s">
        <v>132</v>
      </c>
      <c r="C273" s="159" t="s">
        <v>62</v>
      </c>
      <c r="D273" s="159" t="s">
        <v>69</v>
      </c>
      <c r="E273" s="159">
        <v>0</v>
      </c>
      <c r="F273" s="159" t="s">
        <v>58</v>
      </c>
      <c r="G273" s="159">
        <v>0</v>
      </c>
      <c r="H273" s="159">
        <v>0</v>
      </c>
    </row>
    <row r="274" spans="1:8">
      <c r="A274" s="166">
        <v>42292</v>
      </c>
      <c r="B274" s="159" t="s">
        <v>132</v>
      </c>
      <c r="C274" s="159" t="s">
        <v>62</v>
      </c>
      <c r="D274" s="159" t="s">
        <v>69</v>
      </c>
      <c r="E274" s="159">
        <v>0</v>
      </c>
      <c r="F274" s="159" t="s">
        <v>58</v>
      </c>
      <c r="G274" s="159">
        <v>0</v>
      </c>
      <c r="H274" s="159">
        <v>0</v>
      </c>
    </row>
    <row r="275" spans="1:8">
      <c r="A275" s="166">
        <v>42323</v>
      </c>
      <c r="B275" s="159" t="s">
        <v>132</v>
      </c>
      <c r="C275" s="159" t="s">
        <v>62</v>
      </c>
      <c r="D275" s="159" t="s">
        <v>69</v>
      </c>
      <c r="E275" s="159">
        <v>0</v>
      </c>
      <c r="F275" s="159" t="s">
        <v>58</v>
      </c>
      <c r="G275" s="159">
        <v>0</v>
      </c>
      <c r="H275" s="159">
        <v>0</v>
      </c>
    </row>
    <row r="276" spans="1:8">
      <c r="A276" s="166">
        <v>42353</v>
      </c>
      <c r="B276" s="159" t="s">
        <v>132</v>
      </c>
      <c r="C276" s="159" t="s">
        <v>62</v>
      </c>
      <c r="D276" s="159" t="s">
        <v>69</v>
      </c>
      <c r="E276" s="159">
        <v>0</v>
      </c>
      <c r="F276" s="159" t="s">
        <v>58</v>
      </c>
      <c r="G276" s="159">
        <v>0</v>
      </c>
      <c r="H276" s="159">
        <v>0</v>
      </c>
    </row>
    <row r="277" spans="1:8">
      <c r="A277" s="166">
        <v>42014</v>
      </c>
      <c r="B277" s="159" t="s">
        <v>133</v>
      </c>
      <c r="C277" s="159" t="s">
        <v>62</v>
      </c>
      <c r="D277" s="159" t="s">
        <v>69</v>
      </c>
      <c r="E277" s="159">
        <v>1000</v>
      </c>
      <c r="F277" s="159" t="s">
        <v>55</v>
      </c>
      <c r="G277" s="159">
        <v>259.74025974025972</v>
      </c>
      <c r="H277" s="159">
        <v>228.83295194508008</v>
      </c>
    </row>
    <row r="278" spans="1:8">
      <c r="A278" s="166">
        <v>42045</v>
      </c>
      <c r="B278" s="159" t="s">
        <v>133</v>
      </c>
      <c r="C278" s="159" t="s">
        <v>62</v>
      </c>
      <c r="D278" s="159" t="s">
        <v>69</v>
      </c>
      <c r="E278" s="159">
        <v>1000</v>
      </c>
      <c r="F278" s="159" t="s">
        <v>55</v>
      </c>
      <c r="G278" s="159">
        <v>259.74025974025972</v>
      </c>
      <c r="H278" s="159">
        <v>228.83295194508008</v>
      </c>
    </row>
    <row r="279" spans="1:8">
      <c r="A279" s="166">
        <v>42073</v>
      </c>
      <c r="B279" s="159" t="s">
        <v>133</v>
      </c>
      <c r="C279" s="159" t="s">
        <v>62</v>
      </c>
      <c r="D279" s="159" t="s">
        <v>69</v>
      </c>
      <c r="E279" s="159">
        <v>1000</v>
      </c>
      <c r="F279" s="159" t="s">
        <v>55</v>
      </c>
      <c r="G279" s="159">
        <v>259.74025974025972</v>
      </c>
      <c r="H279" s="159">
        <v>228.83295194508008</v>
      </c>
    </row>
    <row r="280" spans="1:8">
      <c r="A280" s="166">
        <v>42195</v>
      </c>
      <c r="B280" s="159" t="s">
        <v>133</v>
      </c>
      <c r="C280" s="159" t="s">
        <v>62</v>
      </c>
      <c r="D280" s="159" t="s">
        <v>69</v>
      </c>
      <c r="E280" s="159">
        <v>0</v>
      </c>
      <c r="F280" s="159" t="s">
        <v>55</v>
      </c>
      <c r="G280" s="159">
        <v>0</v>
      </c>
      <c r="H280" s="159">
        <v>0</v>
      </c>
    </row>
    <row r="281" spans="1:8">
      <c r="A281" s="166">
        <v>42226</v>
      </c>
      <c r="B281" s="159" t="s">
        <v>133</v>
      </c>
      <c r="C281" s="159" t="s">
        <v>62</v>
      </c>
      <c r="D281" s="159" t="s">
        <v>69</v>
      </c>
      <c r="E281" s="159">
        <v>0</v>
      </c>
      <c r="F281" s="159" t="s">
        <v>55</v>
      </c>
      <c r="G281" s="159">
        <v>0</v>
      </c>
      <c r="H281" s="159">
        <v>0</v>
      </c>
    </row>
    <row r="282" spans="1:8">
      <c r="A282" s="166">
        <v>42257</v>
      </c>
      <c r="B282" s="159" t="s">
        <v>133</v>
      </c>
      <c r="C282" s="159" t="s">
        <v>62</v>
      </c>
      <c r="D282" s="159" t="s">
        <v>69</v>
      </c>
      <c r="E282" s="159">
        <v>0</v>
      </c>
      <c r="F282" s="159" t="s">
        <v>55</v>
      </c>
      <c r="G282" s="159">
        <v>0</v>
      </c>
      <c r="H282" s="159">
        <v>0</v>
      </c>
    </row>
    <row r="283" spans="1:8">
      <c r="A283" s="166">
        <v>42287</v>
      </c>
      <c r="B283" s="159" t="s">
        <v>133</v>
      </c>
      <c r="C283" s="159" t="s">
        <v>62</v>
      </c>
      <c r="D283" s="159" t="s">
        <v>69</v>
      </c>
      <c r="E283" s="159">
        <v>0</v>
      </c>
      <c r="F283" s="159" t="s">
        <v>55</v>
      </c>
      <c r="G283" s="159">
        <v>0</v>
      </c>
      <c r="H283" s="159">
        <v>0</v>
      </c>
    </row>
    <row r="284" spans="1:8">
      <c r="A284" s="166">
        <v>42318</v>
      </c>
      <c r="B284" s="159" t="s">
        <v>133</v>
      </c>
      <c r="C284" s="159" t="s">
        <v>62</v>
      </c>
      <c r="D284" s="159" t="s">
        <v>69</v>
      </c>
      <c r="E284" s="159">
        <v>0</v>
      </c>
      <c r="F284" s="159" t="s">
        <v>55</v>
      </c>
      <c r="G284" s="159">
        <v>0</v>
      </c>
      <c r="H284" s="159">
        <v>0</v>
      </c>
    </row>
    <row r="285" spans="1:8">
      <c r="A285" s="166">
        <v>42348</v>
      </c>
      <c r="B285" s="159" t="s">
        <v>133</v>
      </c>
      <c r="C285" s="159" t="s">
        <v>62</v>
      </c>
      <c r="D285" s="159" t="s">
        <v>69</v>
      </c>
      <c r="E285" s="159">
        <v>0</v>
      </c>
      <c r="F285" s="159" t="s">
        <v>55</v>
      </c>
      <c r="G285" s="159">
        <v>0</v>
      </c>
      <c r="H285" s="159">
        <v>0</v>
      </c>
    </row>
    <row r="286" spans="1:8">
      <c r="A286" s="166">
        <v>42019</v>
      </c>
      <c r="B286" s="159" t="s">
        <v>134</v>
      </c>
      <c r="C286" s="159" t="s">
        <v>62</v>
      </c>
      <c r="D286" s="159" t="s">
        <v>72</v>
      </c>
      <c r="E286" s="159">
        <v>1000</v>
      </c>
      <c r="F286" s="159" t="s">
        <v>58</v>
      </c>
      <c r="G286" s="159">
        <v>259.74025974025972</v>
      </c>
      <c r="H286" s="159">
        <v>228.83295194508008</v>
      </c>
    </row>
    <row r="287" spans="1:8">
      <c r="A287" s="166">
        <v>42050</v>
      </c>
      <c r="B287" s="159" t="s">
        <v>134</v>
      </c>
      <c r="C287" s="159" t="s">
        <v>62</v>
      </c>
      <c r="D287" s="159" t="s">
        <v>72</v>
      </c>
      <c r="E287" s="159">
        <v>1000</v>
      </c>
      <c r="F287" s="159" t="s">
        <v>58</v>
      </c>
      <c r="G287" s="159">
        <v>259.74025974025972</v>
      </c>
      <c r="H287" s="159">
        <v>228.83295194508008</v>
      </c>
    </row>
    <row r="288" spans="1:8">
      <c r="A288" s="166">
        <v>42078</v>
      </c>
      <c r="B288" s="159" t="s">
        <v>134</v>
      </c>
      <c r="C288" s="159" t="s">
        <v>62</v>
      </c>
      <c r="D288" s="159" t="s">
        <v>72</v>
      </c>
      <c r="E288" s="159">
        <v>1000</v>
      </c>
      <c r="F288" s="159" t="s">
        <v>58</v>
      </c>
      <c r="G288" s="159">
        <v>259.74025974025972</v>
      </c>
      <c r="H288" s="159">
        <v>228.83295194508008</v>
      </c>
    </row>
    <row r="289" spans="1:8">
      <c r="A289" s="166">
        <v>42200</v>
      </c>
      <c r="B289" s="159" t="s">
        <v>134</v>
      </c>
      <c r="C289" s="159" t="s">
        <v>62</v>
      </c>
      <c r="D289" s="159" t="s">
        <v>72</v>
      </c>
      <c r="E289" s="159">
        <v>0</v>
      </c>
      <c r="F289" s="159" t="s">
        <v>58</v>
      </c>
      <c r="G289" s="159">
        <v>0</v>
      </c>
      <c r="H289" s="159">
        <v>0</v>
      </c>
    </row>
    <row r="290" spans="1:8">
      <c r="A290" s="166">
        <v>42231</v>
      </c>
      <c r="B290" s="159" t="s">
        <v>134</v>
      </c>
      <c r="C290" s="159" t="s">
        <v>62</v>
      </c>
      <c r="D290" s="159" t="s">
        <v>72</v>
      </c>
      <c r="E290" s="159">
        <v>0</v>
      </c>
      <c r="F290" s="159" t="s">
        <v>58</v>
      </c>
      <c r="G290" s="159">
        <v>0</v>
      </c>
      <c r="H290" s="159">
        <v>0</v>
      </c>
    </row>
    <row r="291" spans="1:8">
      <c r="A291" s="166">
        <v>42262</v>
      </c>
      <c r="B291" s="159" t="s">
        <v>134</v>
      </c>
      <c r="C291" s="159" t="s">
        <v>62</v>
      </c>
      <c r="D291" s="159" t="s">
        <v>72</v>
      </c>
      <c r="E291" s="159">
        <v>0</v>
      </c>
      <c r="F291" s="159" t="s">
        <v>58</v>
      </c>
      <c r="G291" s="159">
        <v>0</v>
      </c>
      <c r="H291" s="159">
        <v>0</v>
      </c>
    </row>
    <row r="292" spans="1:8">
      <c r="A292" s="166">
        <v>42292</v>
      </c>
      <c r="B292" s="159" t="s">
        <v>134</v>
      </c>
      <c r="C292" s="159" t="s">
        <v>62</v>
      </c>
      <c r="D292" s="159" t="s">
        <v>72</v>
      </c>
      <c r="E292" s="159">
        <v>0</v>
      </c>
      <c r="F292" s="159" t="s">
        <v>58</v>
      </c>
      <c r="G292" s="159">
        <v>0</v>
      </c>
      <c r="H292" s="159">
        <v>0</v>
      </c>
    </row>
    <row r="293" spans="1:8">
      <c r="A293" s="166">
        <v>42323</v>
      </c>
      <c r="B293" s="159" t="s">
        <v>134</v>
      </c>
      <c r="C293" s="159" t="s">
        <v>62</v>
      </c>
      <c r="D293" s="159" t="s">
        <v>72</v>
      </c>
      <c r="E293" s="159">
        <v>0</v>
      </c>
      <c r="F293" s="159" t="s">
        <v>58</v>
      </c>
      <c r="G293" s="159">
        <v>0</v>
      </c>
      <c r="H293" s="159">
        <v>0</v>
      </c>
    </row>
    <row r="294" spans="1:8">
      <c r="A294" s="166">
        <v>42353</v>
      </c>
      <c r="B294" s="159" t="s">
        <v>134</v>
      </c>
      <c r="C294" s="159" t="s">
        <v>62</v>
      </c>
      <c r="D294" s="159" t="s">
        <v>72</v>
      </c>
      <c r="E294" s="159">
        <v>0</v>
      </c>
      <c r="F294" s="159" t="s">
        <v>58</v>
      </c>
      <c r="G294" s="159">
        <v>0</v>
      </c>
      <c r="H294" s="159">
        <v>0</v>
      </c>
    </row>
    <row r="295" spans="1:8">
      <c r="A295" s="166">
        <v>42014</v>
      </c>
      <c r="B295" s="159" t="s">
        <v>135</v>
      </c>
      <c r="C295" s="159" t="s">
        <v>62</v>
      </c>
      <c r="D295" s="159" t="s">
        <v>69</v>
      </c>
      <c r="E295" s="159">
        <v>1000</v>
      </c>
      <c r="F295" s="159" t="s">
        <v>55</v>
      </c>
      <c r="G295" s="159">
        <v>259.74025974025972</v>
      </c>
      <c r="H295" s="159">
        <v>228.83295194508008</v>
      </c>
    </row>
    <row r="296" spans="1:8">
      <c r="A296" s="166">
        <v>42045</v>
      </c>
      <c r="B296" s="159" t="s">
        <v>135</v>
      </c>
      <c r="C296" s="159" t="s">
        <v>62</v>
      </c>
      <c r="D296" s="159" t="s">
        <v>69</v>
      </c>
      <c r="E296" s="159">
        <v>1000</v>
      </c>
      <c r="F296" s="159" t="s">
        <v>55</v>
      </c>
      <c r="G296" s="159">
        <v>259.74025974025972</v>
      </c>
      <c r="H296" s="159">
        <v>228.83295194508008</v>
      </c>
    </row>
    <row r="297" spans="1:8">
      <c r="A297" s="166">
        <v>42073</v>
      </c>
      <c r="B297" s="159" t="s">
        <v>135</v>
      </c>
      <c r="C297" s="159" t="s">
        <v>62</v>
      </c>
      <c r="D297" s="159" t="s">
        <v>69</v>
      </c>
      <c r="E297" s="159">
        <v>1000</v>
      </c>
      <c r="F297" s="159" t="s">
        <v>55</v>
      </c>
      <c r="G297" s="159">
        <v>259.74025974025972</v>
      </c>
      <c r="H297" s="159">
        <v>228.83295194508008</v>
      </c>
    </row>
    <row r="298" spans="1:8">
      <c r="A298" s="166">
        <v>42195</v>
      </c>
      <c r="B298" s="159" t="s">
        <v>135</v>
      </c>
      <c r="C298" s="159" t="s">
        <v>62</v>
      </c>
      <c r="D298" s="159" t="s">
        <v>69</v>
      </c>
      <c r="E298" s="159">
        <v>0</v>
      </c>
      <c r="F298" s="159" t="s">
        <v>55</v>
      </c>
      <c r="G298" s="159">
        <v>0</v>
      </c>
      <c r="H298" s="159">
        <v>0</v>
      </c>
    </row>
    <row r="299" spans="1:8">
      <c r="A299" s="166">
        <v>42226</v>
      </c>
      <c r="B299" s="159" t="s">
        <v>135</v>
      </c>
      <c r="C299" s="159" t="s">
        <v>62</v>
      </c>
      <c r="D299" s="159" t="s">
        <v>69</v>
      </c>
      <c r="E299" s="159">
        <v>0</v>
      </c>
      <c r="F299" s="159" t="s">
        <v>55</v>
      </c>
      <c r="G299" s="159">
        <v>0</v>
      </c>
      <c r="H299" s="159">
        <v>0</v>
      </c>
    </row>
    <row r="300" spans="1:8">
      <c r="A300" s="166">
        <v>42257</v>
      </c>
      <c r="B300" s="159" t="s">
        <v>135</v>
      </c>
      <c r="C300" s="159" t="s">
        <v>62</v>
      </c>
      <c r="D300" s="159" t="s">
        <v>69</v>
      </c>
      <c r="E300" s="159">
        <v>0</v>
      </c>
      <c r="F300" s="159" t="s">
        <v>55</v>
      </c>
      <c r="G300" s="159">
        <v>0</v>
      </c>
      <c r="H300" s="159">
        <v>0</v>
      </c>
    </row>
    <row r="301" spans="1:8">
      <c r="A301" s="166">
        <v>42287</v>
      </c>
      <c r="B301" s="159" t="s">
        <v>135</v>
      </c>
      <c r="C301" s="159" t="s">
        <v>62</v>
      </c>
      <c r="D301" s="159" t="s">
        <v>69</v>
      </c>
      <c r="E301" s="159">
        <v>0</v>
      </c>
      <c r="F301" s="159" t="s">
        <v>55</v>
      </c>
      <c r="G301" s="159">
        <v>0</v>
      </c>
      <c r="H301" s="159">
        <v>0</v>
      </c>
    </row>
    <row r="302" spans="1:8">
      <c r="A302" s="166">
        <v>42318</v>
      </c>
      <c r="B302" s="159" t="s">
        <v>135</v>
      </c>
      <c r="C302" s="159" t="s">
        <v>62</v>
      </c>
      <c r="D302" s="159" t="s">
        <v>69</v>
      </c>
      <c r="E302" s="159">
        <v>0</v>
      </c>
      <c r="F302" s="159" t="s">
        <v>55</v>
      </c>
      <c r="G302" s="159">
        <v>0</v>
      </c>
      <c r="H302" s="159">
        <v>0</v>
      </c>
    </row>
    <row r="303" spans="1:8">
      <c r="A303" s="166">
        <v>42348</v>
      </c>
      <c r="B303" s="159" t="s">
        <v>135</v>
      </c>
      <c r="C303" s="159" t="s">
        <v>62</v>
      </c>
      <c r="D303" s="159" t="s">
        <v>69</v>
      </c>
      <c r="E303" s="159">
        <v>0</v>
      </c>
      <c r="F303" s="159" t="s">
        <v>55</v>
      </c>
      <c r="G303" s="159">
        <v>0</v>
      </c>
      <c r="H303" s="159">
        <v>0</v>
      </c>
    </row>
    <row r="304" spans="1:8">
      <c r="A304" s="166">
        <v>42019</v>
      </c>
      <c r="B304" s="159" t="s">
        <v>136</v>
      </c>
      <c r="C304" s="159" t="s">
        <v>62</v>
      </c>
      <c r="D304" s="159" t="s">
        <v>69</v>
      </c>
      <c r="E304" s="159">
        <v>1000</v>
      </c>
      <c r="F304" s="159" t="s">
        <v>58</v>
      </c>
      <c r="G304" s="159">
        <v>259.74025974025972</v>
      </c>
      <c r="H304" s="159">
        <v>228.83295194508008</v>
      </c>
    </row>
    <row r="305" spans="1:8">
      <c r="A305" s="166">
        <v>42050</v>
      </c>
      <c r="B305" s="159" t="s">
        <v>136</v>
      </c>
      <c r="C305" s="159" t="s">
        <v>62</v>
      </c>
      <c r="D305" s="159" t="s">
        <v>69</v>
      </c>
      <c r="E305" s="159">
        <v>1000</v>
      </c>
      <c r="F305" s="159" t="s">
        <v>58</v>
      </c>
      <c r="G305" s="159">
        <v>259.74025974025972</v>
      </c>
      <c r="H305" s="159">
        <v>228.83295194508008</v>
      </c>
    </row>
    <row r="306" spans="1:8">
      <c r="A306" s="166">
        <v>42078</v>
      </c>
      <c r="B306" s="159" t="s">
        <v>136</v>
      </c>
      <c r="C306" s="159" t="s">
        <v>62</v>
      </c>
      <c r="D306" s="159" t="s">
        <v>69</v>
      </c>
      <c r="E306" s="159">
        <v>1000</v>
      </c>
      <c r="F306" s="159" t="s">
        <v>58</v>
      </c>
      <c r="G306" s="159">
        <v>259.74025974025972</v>
      </c>
      <c r="H306" s="159">
        <v>228.83295194508008</v>
      </c>
    </row>
    <row r="307" spans="1:8">
      <c r="A307" s="166">
        <v>42109</v>
      </c>
      <c r="B307" s="159" t="s">
        <v>136</v>
      </c>
      <c r="C307" s="159" t="s">
        <v>62</v>
      </c>
      <c r="D307" s="159" t="s">
        <v>69</v>
      </c>
      <c r="E307" s="159">
        <v>1000</v>
      </c>
      <c r="F307" s="159" t="s">
        <v>58</v>
      </c>
      <c r="G307" s="159">
        <v>259.74025974025972</v>
      </c>
      <c r="H307" s="159">
        <v>228.83295194508008</v>
      </c>
    </row>
    <row r="308" spans="1:8">
      <c r="A308" s="166">
        <v>42139</v>
      </c>
      <c r="B308" s="159" t="s">
        <v>136</v>
      </c>
      <c r="C308" s="159" t="s">
        <v>62</v>
      </c>
      <c r="D308" s="159" t="s">
        <v>69</v>
      </c>
      <c r="E308" s="159">
        <v>1000</v>
      </c>
      <c r="F308" s="159" t="s">
        <v>58</v>
      </c>
      <c r="G308" s="159">
        <v>259.74025974025972</v>
      </c>
      <c r="H308" s="159">
        <v>228.83295194508008</v>
      </c>
    </row>
    <row r="309" spans="1:8">
      <c r="A309" s="166">
        <v>42170</v>
      </c>
      <c r="B309" s="159" t="s">
        <v>136</v>
      </c>
      <c r="C309" s="159" t="s">
        <v>62</v>
      </c>
      <c r="D309" s="159" t="s">
        <v>69</v>
      </c>
      <c r="E309" s="159">
        <v>1000</v>
      </c>
      <c r="F309" s="159" t="s">
        <v>58</v>
      </c>
      <c r="G309" s="159">
        <v>259.74025974025972</v>
      </c>
      <c r="H309" s="159">
        <v>228.83295194508008</v>
      </c>
    </row>
    <row r="310" spans="1:8">
      <c r="A310" s="166">
        <v>42200</v>
      </c>
      <c r="B310" s="159" t="s">
        <v>136</v>
      </c>
      <c r="C310" s="159" t="s">
        <v>62</v>
      </c>
      <c r="D310" s="159" t="s">
        <v>69</v>
      </c>
      <c r="E310" s="159">
        <v>1000</v>
      </c>
      <c r="F310" s="159" t="s">
        <v>58</v>
      </c>
      <c r="G310" s="159">
        <v>259.74025974025972</v>
      </c>
      <c r="H310" s="159">
        <v>228.83295194508008</v>
      </c>
    </row>
    <row r="311" spans="1:8">
      <c r="A311" s="166">
        <v>42231</v>
      </c>
      <c r="B311" s="159" t="s">
        <v>136</v>
      </c>
      <c r="C311" s="159" t="s">
        <v>62</v>
      </c>
      <c r="D311" s="159" t="s">
        <v>69</v>
      </c>
      <c r="E311" s="159">
        <v>1000</v>
      </c>
      <c r="F311" s="159" t="s">
        <v>58</v>
      </c>
      <c r="G311" s="159">
        <v>259.74025974025972</v>
      </c>
      <c r="H311" s="159">
        <v>228.83295194508008</v>
      </c>
    </row>
    <row r="312" spans="1:8">
      <c r="A312" s="166">
        <v>42262</v>
      </c>
      <c r="B312" s="159" t="s">
        <v>136</v>
      </c>
      <c r="C312" s="159" t="s">
        <v>62</v>
      </c>
      <c r="D312" s="159" t="s">
        <v>69</v>
      </c>
      <c r="E312" s="159">
        <v>1000</v>
      </c>
      <c r="F312" s="159" t="s">
        <v>58</v>
      </c>
      <c r="G312" s="159">
        <v>259.74025974025972</v>
      </c>
      <c r="H312" s="159">
        <v>228.83295194508008</v>
      </c>
    </row>
    <row r="313" spans="1:8">
      <c r="A313" s="166">
        <v>42292</v>
      </c>
      <c r="B313" s="159" t="s">
        <v>136</v>
      </c>
      <c r="C313" s="159" t="s">
        <v>62</v>
      </c>
      <c r="D313" s="159" t="s">
        <v>69</v>
      </c>
      <c r="E313" s="159">
        <v>1000</v>
      </c>
      <c r="F313" s="159" t="s">
        <v>58</v>
      </c>
      <c r="G313" s="159">
        <v>259.74025974025972</v>
      </c>
      <c r="H313" s="159">
        <v>228.83295194508008</v>
      </c>
    </row>
    <row r="314" spans="1:8">
      <c r="A314" s="166">
        <v>42323</v>
      </c>
      <c r="B314" s="159" t="s">
        <v>136</v>
      </c>
      <c r="C314" s="159" t="s">
        <v>62</v>
      </c>
      <c r="D314" s="159" t="s">
        <v>69</v>
      </c>
      <c r="E314" s="159">
        <v>1000</v>
      </c>
      <c r="F314" s="159" t="s">
        <v>58</v>
      </c>
      <c r="G314" s="159">
        <v>259.74025974025972</v>
      </c>
      <c r="H314" s="159">
        <v>228.83295194508008</v>
      </c>
    </row>
    <row r="315" spans="1:8">
      <c r="A315" s="166">
        <v>42353</v>
      </c>
      <c r="B315" s="159" t="s">
        <v>136</v>
      </c>
      <c r="C315" s="159" t="s">
        <v>62</v>
      </c>
      <c r="D315" s="159" t="s">
        <v>69</v>
      </c>
      <c r="E315" s="159">
        <v>1000</v>
      </c>
      <c r="F315" s="159" t="s">
        <v>58</v>
      </c>
      <c r="G315" s="159">
        <v>259.74025974025972</v>
      </c>
      <c r="H315" s="159">
        <v>228.83295194508008</v>
      </c>
    </row>
    <row r="316" spans="1:8">
      <c r="A316" s="166">
        <v>42019</v>
      </c>
      <c r="B316" s="159" t="s">
        <v>137</v>
      </c>
      <c r="C316" s="159" t="s">
        <v>62</v>
      </c>
      <c r="D316" s="159" t="s">
        <v>72</v>
      </c>
      <c r="E316" s="159">
        <v>1000</v>
      </c>
      <c r="F316" s="159" t="s">
        <v>58</v>
      </c>
      <c r="G316" s="159">
        <v>259.74025974025972</v>
      </c>
      <c r="H316" s="159">
        <v>228.83295194508008</v>
      </c>
    </row>
    <row r="317" spans="1:8">
      <c r="A317" s="166">
        <v>42050</v>
      </c>
      <c r="B317" s="159" t="s">
        <v>137</v>
      </c>
      <c r="C317" s="159" t="s">
        <v>62</v>
      </c>
      <c r="D317" s="159" t="s">
        <v>72</v>
      </c>
      <c r="E317" s="159">
        <v>1000</v>
      </c>
      <c r="F317" s="159" t="s">
        <v>58</v>
      </c>
      <c r="G317" s="159">
        <v>259.74025974025972</v>
      </c>
      <c r="H317" s="159">
        <v>228.83295194508008</v>
      </c>
    </row>
    <row r="318" spans="1:8">
      <c r="A318" s="166">
        <v>42078</v>
      </c>
      <c r="B318" s="159" t="s">
        <v>137</v>
      </c>
      <c r="C318" s="159" t="s">
        <v>62</v>
      </c>
      <c r="D318" s="159" t="s">
        <v>72</v>
      </c>
      <c r="E318" s="159">
        <v>1000</v>
      </c>
      <c r="F318" s="159" t="s">
        <v>58</v>
      </c>
      <c r="G318" s="159">
        <v>259.74025974025972</v>
      </c>
      <c r="H318" s="159">
        <v>228.83295194508008</v>
      </c>
    </row>
    <row r="319" spans="1:8">
      <c r="A319" s="166">
        <v>42109</v>
      </c>
      <c r="B319" s="159" t="s">
        <v>137</v>
      </c>
      <c r="C319" s="159" t="s">
        <v>62</v>
      </c>
      <c r="D319" s="159" t="s">
        <v>72</v>
      </c>
      <c r="E319" s="159">
        <v>1000</v>
      </c>
      <c r="F319" s="159" t="s">
        <v>58</v>
      </c>
      <c r="G319" s="159">
        <v>259.74025974025972</v>
      </c>
      <c r="H319" s="159">
        <v>228.83295194508008</v>
      </c>
    </row>
    <row r="320" spans="1:8">
      <c r="A320" s="166">
        <v>42139</v>
      </c>
      <c r="B320" s="159" t="s">
        <v>137</v>
      </c>
      <c r="C320" s="159" t="s">
        <v>62</v>
      </c>
      <c r="D320" s="159" t="s">
        <v>72</v>
      </c>
      <c r="E320" s="159">
        <v>1000</v>
      </c>
      <c r="F320" s="159" t="s">
        <v>58</v>
      </c>
      <c r="G320" s="159">
        <v>259.74025974025972</v>
      </c>
      <c r="H320" s="159">
        <v>228.83295194508008</v>
      </c>
    </row>
    <row r="321" spans="1:8">
      <c r="A321" s="166">
        <v>42170</v>
      </c>
      <c r="B321" s="159" t="s">
        <v>137</v>
      </c>
      <c r="C321" s="159" t="s">
        <v>62</v>
      </c>
      <c r="D321" s="159" t="s">
        <v>72</v>
      </c>
      <c r="E321" s="159">
        <v>1000</v>
      </c>
      <c r="F321" s="159" t="s">
        <v>58</v>
      </c>
      <c r="G321" s="159">
        <v>259.74025974025972</v>
      </c>
      <c r="H321" s="159">
        <v>228.83295194508008</v>
      </c>
    </row>
    <row r="322" spans="1:8">
      <c r="A322" s="166">
        <v>42200</v>
      </c>
      <c r="B322" s="159" t="s">
        <v>137</v>
      </c>
      <c r="C322" s="159" t="s">
        <v>62</v>
      </c>
      <c r="D322" s="159" t="s">
        <v>72</v>
      </c>
      <c r="E322" s="159">
        <v>1000</v>
      </c>
      <c r="F322" s="159" t="s">
        <v>58</v>
      </c>
      <c r="G322" s="159">
        <v>259.74025974025972</v>
      </c>
      <c r="H322" s="159">
        <v>228.83295194508008</v>
      </c>
    </row>
    <row r="323" spans="1:8">
      <c r="A323" s="166">
        <v>42231</v>
      </c>
      <c r="B323" s="159" t="s">
        <v>137</v>
      </c>
      <c r="C323" s="159" t="s">
        <v>62</v>
      </c>
      <c r="D323" s="159" t="s">
        <v>72</v>
      </c>
      <c r="E323" s="159">
        <v>1000</v>
      </c>
      <c r="F323" s="159" t="s">
        <v>58</v>
      </c>
      <c r="G323" s="159">
        <v>259.74025974025972</v>
      </c>
      <c r="H323" s="159">
        <v>228.83295194508008</v>
      </c>
    </row>
    <row r="324" spans="1:8">
      <c r="A324" s="166">
        <v>42262</v>
      </c>
      <c r="B324" s="159" t="s">
        <v>137</v>
      </c>
      <c r="C324" s="159" t="s">
        <v>62</v>
      </c>
      <c r="D324" s="159" t="s">
        <v>72</v>
      </c>
      <c r="E324" s="159">
        <v>1000</v>
      </c>
      <c r="F324" s="159" t="s">
        <v>58</v>
      </c>
      <c r="G324" s="159">
        <v>259.74025974025972</v>
      </c>
      <c r="H324" s="159">
        <v>228.83295194508008</v>
      </c>
    </row>
    <row r="325" spans="1:8">
      <c r="A325" s="166">
        <v>42292</v>
      </c>
      <c r="B325" s="159" t="s">
        <v>137</v>
      </c>
      <c r="C325" s="159" t="s">
        <v>62</v>
      </c>
      <c r="D325" s="159" t="s">
        <v>72</v>
      </c>
      <c r="E325" s="159">
        <v>1000</v>
      </c>
      <c r="F325" s="159" t="s">
        <v>58</v>
      </c>
      <c r="G325" s="159">
        <v>259.74025974025972</v>
      </c>
      <c r="H325" s="159">
        <v>228.83295194508008</v>
      </c>
    </row>
    <row r="326" spans="1:8">
      <c r="A326" s="166">
        <v>42323</v>
      </c>
      <c r="B326" s="159" t="s">
        <v>137</v>
      </c>
      <c r="C326" s="159" t="s">
        <v>62</v>
      </c>
      <c r="D326" s="159" t="s">
        <v>72</v>
      </c>
      <c r="E326" s="159">
        <v>1000</v>
      </c>
      <c r="F326" s="159" t="s">
        <v>58</v>
      </c>
      <c r="G326" s="159">
        <v>259.74025974025972</v>
      </c>
      <c r="H326" s="159">
        <v>228.83295194508008</v>
      </c>
    </row>
    <row r="327" spans="1:8">
      <c r="A327" s="166">
        <v>42353</v>
      </c>
      <c r="B327" s="159" t="s">
        <v>137</v>
      </c>
      <c r="C327" s="159" t="s">
        <v>62</v>
      </c>
      <c r="D327" s="159" t="s">
        <v>72</v>
      </c>
      <c r="E327" s="159">
        <v>1000</v>
      </c>
      <c r="F327" s="159" t="s">
        <v>58</v>
      </c>
      <c r="G327" s="159">
        <v>259.74025974025972</v>
      </c>
      <c r="H327" s="159">
        <v>228.83295194508008</v>
      </c>
    </row>
    <row r="328" spans="1:8">
      <c r="A328" s="166">
        <v>42032</v>
      </c>
      <c r="B328" s="159" t="s">
        <v>138</v>
      </c>
      <c r="C328" s="159" t="s">
        <v>62</v>
      </c>
      <c r="D328" s="159" t="s">
        <v>69</v>
      </c>
      <c r="E328" s="159">
        <v>1000</v>
      </c>
      <c r="F328" s="159" t="s">
        <v>34</v>
      </c>
      <c r="G328" s="159">
        <v>259.74025974025972</v>
      </c>
      <c r="H328" s="159">
        <v>228.83295194508008</v>
      </c>
    </row>
    <row r="329" spans="1:8">
      <c r="A329" s="166">
        <v>42063</v>
      </c>
      <c r="B329" s="159" t="s">
        <v>138</v>
      </c>
      <c r="C329" s="159" t="s">
        <v>62</v>
      </c>
      <c r="D329" s="159" t="s">
        <v>69</v>
      </c>
      <c r="E329" s="159">
        <v>1000</v>
      </c>
      <c r="F329" s="159" t="s">
        <v>34</v>
      </c>
      <c r="G329" s="159">
        <v>259.74025974025972</v>
      </c>
      <c r="H329" s="159">
        <v>228.83295194508008</v>
      </c>
    </row>
    <row r="330" spans="1:8">
      <c r="A330" s="166">
        <v>42091</v>
      </c>
      <c r="B330" s="159" t="s">
        <v>138</v>
      </c>
      <c r="C330" s="159" t="s">
        <v>62</v>
      </c>
      <c r="D330" s="159" t="s">
        <v>69</v>
      </c>
      <c r="E330" s="159">
        <v>1000</v>
      </c>
      <c r="F330" s="159" t="s">
        <v>34</v>
      </c>
      <c r="G330" s="159">
        <v>259.74025974025972</v>
      </c>
      <c r="H330" s="159">
        <v>228.83295194508008</v>
      </c>
    </row>
    <row r="331" spans="1:8">
      <c r="A331" s="166">
        <v>42122</v>
      </c>
      <c r="B331" s="159" t="s">
        <v>138</v>
      </c>
      <c r="C331" s="159" t="s">
        <v>62</v>
      </c>
      <c r="D331" s="159" t="s">
        <v>69</v>
      </c>
      <c r="E331" s="159">
        <v>1000</v>
      </c>
      <c r="F331" s="159" t="s">
        <v>34</v>
      </c>
      <c r="G331" s="159">
        <v>259.74025974025972</v>
      </c>
      <c r="H331" s="159">
        <v>228.83295194508008</v>
      </c>
    </row>
    <row r="332" spans="1:8">
      <c r="A332" s="166">
        <v>42152</v>
      </c>
      <c r="B332" s="159" t="s">
        <v>138</v>
      </c>
      <c r="C332" s="159" t="s">
        <v>62</v>
      </c>
      <c r="D332" s="159" t="s">
        <v>69</v>
      </c>
      <c r="E332" s="159">
        <v>1000</v>
      </c>
      <c r="F332" s="159" t="s">
        <v>34</v>
      </c>
      <c r="G332" s="159">
        <v>259.74025974025972</v>
      </c>
      <c r="H332" s="159">
        <v>228.83295194508008</v>
      </c>
    </row>
    <row r="333" spans="1:8">
      <c r="A333" s="166">
        <v>42183</v>
      </c>
      <c r="B333" s="159" t="s">
        <v>138</v>
      </c>
      <c r="C333" s="159" t="s">
        <v>62</v>
      </c>
      <c r="D333" s="159" t="s">
        <v>69</v>
      </c>
      <c r="E333" s="159">
        <v>1000</v>
      </c>
      <c r="F333" s="159" t="s">
        <v>34</v>
      </c>
      <c r="G333" s="159">
        <v>259.74025974025972</v>
      </c>
      <c r="H333" s="159">
        <v>228.83295194508008</v>
      </c>
    </row>
    <row r="334" spans="1:8">
      <c r="A334" s="166">
        <v>42213</v>
      </c>
      <c r="B334" s="159" t="s">
        <v>138</v>
      </c>
      <c r="C334" s="159" t="s">
        <v>62</v>
      </c>
      <c r="D334" s="159" t="s">
        <v>69</v>
      </c>
      <c r="E334" s="159">
        <v>1000</v>
      </c>
      <c r="F334" s="159" t="s">
        <v>34</v>
      </c>
      <c r="G334" s="159">
        <v>259.74025974025972</v>
      </c>
      <c r="H334" s="159">
        <v>228.83295194508008</v>
      </c>
    </row>
    <row r="335" spans="1:8">
      <c r="A335" s="166">
        <v>42244</v>
      </c>
      <c r="B335" s="159" t="s">
        <v>138</v>
      </c>
      <c r="C335" s="159" t="s">
        <v>62</v>
      </c>
      <c r="D335" s="159" t="s">
        <v>69</v>
      </c>
      <c r="E335" s="159">
        <v>1000</v>
      </c>
      <c r="F335" s="159" t="s">
        <v>34</v>
      </c>
      <c r="G335" s="159">
        <v>259.74025974025972</v>
      </c>
      <c r="H335" s="159">
        <v>228.83295194508008</v>
      </c>
    </row>
    <row r="336" spans="1:8">
      <c r="A336" s="166">
        <v>42275</v>
      </c>
      <c r="B336" s="159" t="s">
        <v>138</v>
      </c>
      <c r="C336" s="159" t="s">
        <v>62</v>
      </c>
      <c r="D336" s="159" t="s">
        <v>69</v>
      </c>
      <c r="E336" s="159">
        <v>1000</v>
      </c>
      <c r="F336" s="159" t="s">
        <v>34</v>
      </c>
      <c r="G336" s="159">
        <v>259.74025974025972</v>
      </c>
      <c r="H336" s="159">
        <v>228.83295194508008</v>
      </c>
    </row>
    <row r="337" spans="1:8">
      <c r="A337" s="166">
        <v>42305</v>
      </c>
      <c r="B337" s="159" t="s">
        <v>138</v>
      </c>
      <c r="C337" s="159" t="s">
        <v>62</v>
      </c>
      <c r="D337" s="159" t="s">
        <v>69</v>
      </c>
      <c r="E337" s="159">
        <v>1000</v>
      </c>
      <c r="F337" s="159" t="s">
        <v>34</v>
      </c>
      <c r="G337" s="159">
        <v>259.74025974025972</v>
      </c>
      <c r="H337" s="159">
        <v>228.83295194508008</v>
      </c>
    </row>
    <row r="338" spans="1:8">
      <c r="A338" s="166">
        <v>42336</v>
      </c>
      <c r="B338" s="159" t="s">
        <v>138</v>
      </c>
      <c r="C338" s="159" t="s">
        <v>62</v>
      </c>
      <c r="D338" s="159" t="s">
        <v>69</v>
      </c>
      <c r="E338" s="159">
        <v>1000</v>
      </c>
      <c r="F338" s="159" t="s">
        <v>34</v>
      </c>
      <c r="G338" s="159">
        <v>259.74025974025972</v>
      </c>
      <c r="H338" s="159">
        <v>228.83295194508008</v>
      </c>
    </row>
    <row r="339" spans="1:8">
      <c r="A339" s="166">
        <v>42366</v>
      </c>
      <c r="B339" s="159" t="s">
        <v>138</v>
      </c>
      <c r="C339" s="159" t="s">
        <v>62</v>
      </c>
      <c r="D339" s="159" t="s">
        <v>69</v>
      </c>
      <c r="E339" s="159">
        <v>1000</v>
      </c>
      <c r="F339" s="159" t="s">
        <v>34</v>
      </c>
      <c r="G339" s="159">
        <v>259.74025974025972</v>
      </c>
      <c r="H339" s="159">
        <v>228.83295194508008</v>
      </c>
    </row>
    <row r="340" spans="1:8">
      <c r="A340" s="166">
        <v>42019</v>
      </c>
      <c r="B340" s="159" t="s">
        <v>139</v>
      </c>
      <c r="C340" s="159" t="s">
        <v>62</v>
      </c>
      <c r="D340" s="159" t="s">
        <v>72</v>
      </c>
      <c r="E340" s="159">
        <v>1000</v>
      </c>
      <c r="F340" s="159" t="s">
        <v>58</v>
      </c>
      <c r="G340" s="159">
        <v>259.74025974025972</v>
      </c>
      <c r="H340" s="159">
        <v>228.83295194508008</v>
      </c>
    </row>
    <row r="341" spans="1:8">
      <c r="A341" s="166">
        <v>42050</v>
      </c>
      <c r="B341" s="159" t="s">
        <v>139</v>
      </c>
      <c r="C341" s="159" t="s">
        <v>62</v>
      </c>
      <c r="D341" s="159" t="s">
        <v>72</v>
      </c>
      <c r="E341" s="159">
        <v>1000</v>
      </c>
      <c r="F341" s="159" t="s">
        <v>58</v>
      </c>
      <c r="G341" s="159">
        <v>259.74025974025972</v>
      </c>
      <c r="H341" s="159">
        <v>228.83295194508008</v>
      </c>
    </row>
    <row r="342" spans="1:8">
      <c r="A342" s="166">
        <v>42078</v>
      </c>
      <c r="B342" s="159" t="s">
        <v>139</v>
      </c>
      <c r="C342" s="159" t="s">
        <v>62</v>
      </c>
      <c r="D342" s="159" t="s">
        <v>72</v>
      </c>
      <c r="E342" s="159">
        <v>1000</v>
      </c>
      <c r="F342" s="159" t="s">
        <v>58</v>
      </c>
      <c r="G342" s="159">
        <v>259.74025974025972</v>
      </c>
      <c r="H342" s="159">
        <v>228.83295194508008</v>
      </c>
    </row>
    <row r="343" spans="1:8">
      <c r="A343" s="166">
        <v>42109</v>
      </c>
      <c r="B343" s="159" t="s">
        <v>139</v>
      </c>
      <c r="C343" s="159" t="s">
        <v>62</v>
      </c>
      <c r="D343" s="159" t="s">
        <v>72</v>
      </c>
      <c r="E343" s="159">
        <v>1000</v>
      </c>
      <c r="F343" s="159" t="s">
        <v>58</v>
      </c>
      <c r="G343" s="159">
        <v>259.74025974025972</v>
      </c>
      <c r="H343" s="159">
        <v>228.83295194508008</v>
      </c>
    </row>
    <row r="344" spans="1:8">
      <c r="A344" s="166">
        <v>42139</v>
      </c>
      <c r="B344" s="159" t="s">
        <v>139</v>
      </c>
      <c r="C344" s="159" t="s">
        <v>62</v>
      </c>
      <c r="D344" s="159" t="s">
        <v>72</v>
      </c>
      <c r="E344" s="159">
        <v>1000</v>
      </c>
      <c r="F344" s="159" t="s">
        <v>58</v>
      </c>
      <c r="G344" s="159">
        <v>259.74025974025972</v>
      </c>
      <c r="H344" s="159">
        <v>228.83295194508008</v>
      </c>
    </row>
    <row r="345" spans="1:8">
      <c r="A345" s="166">
        <v>42170</v>
      </c>
      <c r="B345" s="159" t="s">
        <v>139</v>
      </c>
      <c r="C345" s="159" t="s">
        <v>62</v>
      </c>
      <c r="D345" s="159" t="s">
        <v>72</v>
      </c>
      <c r="E345" s="159">
        <v>1000</v>
      </c>
      <c r="F345" s="159" t="s">
        <v>58</v>
      </c>
      <c r="G345" s="159">
        <v>259.74025974025972</v>
      </c>
      <c r="H345" s="159">
        <v>228.83295194508008</v>
      </c>
    </row>
    <row r="346" spans="1:8">
      <c r="A346" s="166">
        <v>42200</v>
      </c>
      <c r="B346" s="159" t="s">
        <v>139</v>
      </c>
      <c r="C346" s="159" t="s">
        <v>62</v>
      </c>
      <c r="D346" s="159" t="s">
        <v>72</v>
      </c>
      <c r="E346" s="159">
        <v>1000</v>
      </c>
      <c r="F346" s="159" t="s">
        <v>58</v>
      </c>
      <c r="G346" s="159">
        <v>259.74025974025972</v>
      </c>
      <c r="H346" s="159">
        <v>228.83295194508008</v>
      </c>
    </row>
    <row r="347" spans="1:8">
      <c r="A347" s="166">
        <v>42231</v>
      </c>
      <c r="B347" s="159" t="s">
        <v>139</v>
      </c>
      <c r="C347" s="159" t="s">
        <v>62</v>
      </c>
      <c r="D347" s="159" t="s">
        <v>72</v>
      </c>
      <c r="E347" s="159">
        <v>1000</v>
      </c>
      <c r="F347" s="159" t="s">
        <v>58</v>
      </c>
      <c r="G347" s="159">
        <v>259.74025974025972</v>
      </c>
      <c r="H347" s="159">
        <v>228.83295194508008</v>
      </c>
    </row>
    <row r="348" spans="1:8">
      <c r="A348" s="166">
        <v>42262</v>
      </c>
      <c r="B348" s="159" t="s">
        <v>139</v>
      </c>
      <c r="C348" s="159" t="s">
        <v>62</v>
      </c>
      <c r="D348" s="159" t="s">
        <v>72</v>
      </c>
      <c r="E348" s="159">
        <v>1000</v>
      </c>
      <c r="F348" s="159" t="s">
        <v>58</v>
      </c>
      <c r="G348" s="159">
        <v>259.74025974025972</v>
      </c>
      <c r="H348" s="159">
        <v>228.83295194508008</v>
      </c>
    </row>
    <row r="349" spans="1:8">
      <c r="A349" s="166">
        <v>42292</v>
      </c>
      <c r="B349" s="159" t="s">
        <v>139</v>
      </c>
      <c r="C349" s="159" t="s">
        <v>62</v>
      </c>
      <c r="D349" s="159" t="s">
        <v>72</v>
      </c>
      <c r="E349" s="159">
        <v>1000</v>
      </c>
      <c r="F349" s="159" t="s">
        <v>58</v>
      </c>
      <c r="G349" s="159">
        <v>259.74025974025972</v>
      </c>
      <c r="H349" s="159">
        <v>228.83295194508008</v>
      </c>
    </row>
    <row r="350" spans="1:8">
      <c r="A350" s="166">
        <v>42323</v>
      </c>
      <c r="B350" s="159" t="s">
        <v>139</v>
      </c>
      <c r="C350" s="159" t="s">
        <v>62</v>
      </c>
      <c r="D350" s="159" t="s">
        <v>72</v>
      </c>
      <c r="E350" s="159">
        <v>1000</v>
      </c>
      <c r="F350" s="159" t="s">
        <v>58</v>
      </c>
      <c r="G350" s="159">
        <v>259.74025974025972</v>
      </c>
      <c r="H350" s="159">
        <v>228.83295194508008</v>
      </c>
    </row>
    <row r="351" spans="1:8">
      <c r="A351" s="166">
        <v>42353</v>
      </c>
      <c r="B351" s="159" t="s">
        <v>139</v>
      </c>
      <c r="C351" s="159" t="s">
        <v>62</v>
      </c>
      <c r="D351" s="159" t="s">
        <v>72</v>
      </c>
      <c r="E351" s="159">
        <v>1000</v>
      </c>
      <c r="F351" s="159" t="s">
        <v>58</v>
      </c>
      <c r="G351" s="159">
        <v>259.74025974025972</v>
      </c>
      <c r="H351" s="159">
        <v>228.83295194508008</v>
      </c>
    </row>
    <row r="352" spans="1:8">
      <c r="A352" s="166">
        <v>42029</v>
      </c>
      <c r="B352" s="159" t="s">
        <v>140</v>
      </c>
      <c r="C352" s="159" t="s">
        <v>62</v>
      </c>
      <c r="D352" s="159" t="s">
        <v>70</v>
      </c>
      <c r="E352" s="159">
        <v>1000</v>
      </c>
      <c r="F352" s="159" t="s">
        <v>34</v>
      </c>
      <c r="G352" s="159">
        <v>259.74025974025972</v>
      </c>
      <c r="H352" s="159">
        <v>228.83295194508008</v>
      </c>
    </row>
    <row r="353" spans="1:8">
      <c r="A353" s="166">
        <v>42060</v>
      </c>
      <c r="B353" s="159" t="s">
        <v>140</v>
      </c>
      <c r="C353" s="159" t="s">
        <v>62</v>
      </c>
      <c r="D353" s="159" t="s">
        <v>70</v>
      </c>
      <c r="E353" s="159">
        <v>1000</v>
      </c>
      <c r="F353" s="159" t="s">
        <v>34</v>
      </c>
      <c r="G353" s="159">
        <v>259.74025974025972</v>
      </c>
      <c r="H353" s="159">
        <v>228.83295194508008</v>
      </c>
    </row>
    <row r="354" spans="1:8">
      <c r="A354" s="166">
        <v>42088</v>
      </c>
      <c r="B354" s="159" t="s">
        <v>140</v>
      </c>
      <c r="C354" s="159" t="s">
        <v>62</v>
      </c>
      <c r="D354" s="159" t="s">
        <v>70</v>
      </c>
      <c r="E354" s="159">
        <v>1000</v>
      </c>
      <c r="F354" s="159" t="s">
        <v>34</v>
      </c>
      <c r="G354" s="159">
        <v>259.74025974025972</v>
      </c>
      <c r="H354" s="159">
        <v>228.83295194508008</v>
      </c>
    </row>
    <row r="355" spans="1:8">
      <c r="A355" s="166">
        <v>42119</v>
      </c>
      <c r="B355" s="159" t="s">
        <v>140</v>
      </c>
      <c r="C355" s="159" t="s">
        <v>62</v>
      </c>
      <c r="D355" s="159" t="s">
        <v>70</v>
      </c>
      <c r="E355" s="159">
        <v>1000</v>
      </c>
      <c r="F355" s="159" t="s">
        <v>34</v>
      </c>
      <c r="G355" s="159">
        <v>259.74025974025972</v>
      </c>
      <c r="H355" s="159">
        <v>228.83295194508008</v>
      </c>
    </row>
    <row r="356" spans="1:8">
      <c r="A356" s="166">
        <v>42149</v>
      </c>
      <c r="B356" s="159" t="s">
        <v>140</v>
      </c>
      <c r="C356" s="159" t="s">
        <v>62</v>
      </c>
      <c r="D356" s="159" t="s">
        <v>70</v>
      </c>
      <c r="E356" s="159">
        <v>1000</v>
      </c>
      <c r="F356" s="159" t="s">
        <v>34</v>
      </c>
      <c r="G356" s="159">
        <v>259.74025974025972</v>
      </c>
      <c r="H356" s="159">
        <v>228.83295194508008</v>
      </c>
    </row>
    <row r="357" spans="1:8">
      <c r="A357" s="166">
        <v>42180</v>
      </c>
      <c r="B357" s="159" t="s">
        <v>140</v>
      </c>
      <c r="C357" s="159" t="s">
        <v>62</v>
      </c>
      <c r="D357" s="159" t="s">
        <v>70</v>
      </c>
      <c r="E357" s="159">
        <v>1000</v>
      </c>
      <c r="F357" s="159" t="s">
        <v>34</v>
      </c>
      <c r="G357" s="159">
        <v>259.74025974025972</v>
      </c>
      <c r="H357" s="159">
        <v>228.83295194508008</v>
      </c>
    </row>
    <row r="358" spans="1:8">
      <c r="A358" s="166">
        <v>42210</v>
      </c>
      <c r="B358" s="159" t="s">
        <v>140</v>
      </c>
      <c r="C358" s="159" t="s">
        <v>62</v>
      </c>
      <c r="D358" s="159" t="s">
        <v>70</v>
      </c>
      <c r="E358" s="159">
        <v>1000</v>
      </c>
      <c r="F358" s="159" t="s">
        <v>34</v>
      </c>
      <c r="G358" s="159">
        <v>259.74025974025972</v>
      </c>
      <c r="H358" s="159">
        <v>228.83295194508008</v>
      </c>
    </row>
    <row r="359" spans="1:8">
      <c r="A359" s="166">
        <v>42241</v>
      </c>
      <c r="B359" s="159" t="s">
        <v>140</v>
      </c>
      <c r="C359" s="159" t="s">
        <v>62</v>
      </c>
      <c r="D359" s="159" t="s">
        <v>70</v>
      </c>
      <c r="E359" s="159">
        <v>1000</v>
      </c>
      <c r="F359" s="159" t="s">
        <v>34</v>
      </c>
      <c r="G359" s="159">
        <v>259.74025974025972</v>
      </c>
      <c r="H359" s="159">
        <v>228.83295194508008</v>
      </c>
    </row>
    <row r="360" spans="1:8">
      <c r="A360" s="166">
        <v>42272</v>
      </c>
      <c r="B360" s="159" t="s">
        <v>140</v>
      </c>
      <c r="C360" s="159" t="s">
        <v>62</v>
      </c>
      <c r="D360" s="159" t="s">
        <v>70</v>
      </c>
      <c r="E360" s="159">
        <v>1000</v>
      </c>
      <c r="F360" s="159" t="s">
        <v>34</v>
      </c>
      <c r="G360" s="159">
        <v>259.74025974025972</v>
      </c>
      <c r="H360" s="159">
        <v>228.83295194508008</v>
      </c>
    </row>
    <row r="361" spans="1:8">
      <c r="A361" s="166">
        <v>42302</v>
      </c>
      <c r="B361" s="159" t="s">
        <v>140</v>
      </c>
      <c r="C361" s="159" t="s">
        <v>62</v>
      </c>
      <c r="D361" s="159" t="s">
        <v>70</v>
      </c>
      <c r="E361" s="159">
        <v>1000</v>
      </c>
      <c r="F361" s="159" t="s">
        <v>34</v>
      </c>
      <c r="G361" s="159">
        <v>259.74025974025972</v>
      </c>
      <c r="H361" s="159">
        <v>228.83295194508008</v>
      </c>
    </row>
    <row r="362" spans="1:8">
      <c r="A362" s="166">
        <v>42333</v>
      </c>
      <c r="B362" s="159" t="s">
        <v>140</v>
      </c>
      <c r="C362" s="159" t="s">
        <v>62</v>
      </c>
      <c r="D362" s="159" t="s">
        <v>70</v>
      </c>
      <c r="E362" s="159">
        <v>1000</v>
      </c>
      <c r="F362" s="159" t="s">
        <v>34</v>
      </c>
      <c r="G362" s="159">
        <v>259.74025974025972</v>
      </c>
      <c r="H362" s="159">
        <v>228.83295194508008</v>
      </c>
    </row>
    <row r="363" spans="1:8">
      <c r="A363" s="166">
        <v>42363</v>
      </c>
      <c r="B363" s="159" t="s">
        <v>140</v>
      </c>
      <c r="C363" s="159" t="s">
        <v>62</v>
      </c>
      <c r="D363" s="159" t="s">
        <v>70</v>
      </c>
      <c r="E363" s="159">
        <v>1000</v>
      </c>
      <c r="F363" s="159" t="s">
        <v>34</v>
      </c>
      <c r="G363" s="159">
        <v>259.74025974025972</v>
      </c>
      <c r="H363" s="159">
        <v>228.83295194508008</v>
      </c>
    </row>
    <row r="364" spans="1:8">
      <c r="A364" s="166">
        <v>42078</v>
      </c>
      <c r="B364" s="159" t="s">
        <v>141</v>
      </c>
      <c r="C364" s="159" t="s">
        <v>62</v>
      </c>
      <c r="D364" s="159" t="s">
        <v>69</v>
      </c>
      <c r="E364" s="159">
        <v>6000</v>
      </c>
      <c r="F364" s="159" t="s">
        <v>51</v>
      </c>
      <c r="G364" s="159">
        <v>1558.4415584415583</v>
      </c>
      <c r="H364" s="159">
        <v>1372.9977116704806</v>
      </c>
    </row>
    <row r="365" spans="1:8">
      <c r="A365" s="166">
        <v>42109</v>
      </c>
      <c r="B365" s="159" t="s">
        <v>141</v>
      </c>
      <c r="C365" s="159" t="s">
        <v>62</v>
      </c>
      <c r="D365" s="159" t="s">
        <v>69</v>
      </c>
      <c r="E365" s="159">
        <v>6000</v>
      </c>
      <c r="F365" s="159" t="s">
        <v>51</v>
      </c>
      <c r="G365" s="159">
        <v>1558.4415584415583</v>
      </c>
      <c r="H365" s="159">
        <v>1372.9977116704806</v>
      </c>
    </row>
    <row r="366" spans="1:8">
      <c r="A366" s="166">
        <v>42139</v>
      </c>
      <c r="B366" s="159" t="s">
        <v>141</v>
      </c>
      <c r="C366" s="159" t="s">
        <v>62</v>
      </c>
      <c r="D366" s="159" t="s">
        <v>69</v>
      </c>
      <c r="E366" s="159">
        <v>1000</v>
      </c>
      <c r="F366" s="159" t="s">
        <v>51</v>
      </c>
      <c r="G366" s="159">
        <v>259.74025974025972</v>
      </c>
      <c r="H366" s="159">
        <v>228.83295194508008</v>
      </c>
    </row>
    <row r="367" spans="1:8">
      <c r="A367" s="166">
        <v>42170</v>
      </c>
      <c r="B367" s="159" t="s">
        <v>141</v>
      </c>
      <c r="C367" s="159" t="s">
        <v>62</v>
      </c>
      <c r="D367" s="159" t="s">
        <v>69</v>
      </c>
      <c r="E367" s="159">
        <v>1000</v>
      </c>
      <c r="F367" s="159" t="s">
        <v>51</v>
      </c>
      <c r="G367" s="159">
        <v>259.74025974025972</v>
      </c>
      <c r="H367" s="159">
        <v>228.83295194508008</v>
      </c>
    </row>
    <row r="368" spans="1:8">
      <c r="A368" s="166">
        <v>42200</v>
      </c>
      <c r="B368" s="159" t="s">
        <v>141</v>
      </c>
      <c r="C368" s="159" t="s">
        <v>62</v>
      </c>
      <c r="D368" s="159" t="s">
        <v>69</v>
      </c>
      <c r="E368" s="159">
        <v>1000</v>
      </c>
      <c r="F368" s="159" t="s">
        <v>51</v>
      </c>
      <c r="G368" s="159">
        <v>259.74025974025972</v>
      </c>
      <c r="H368" s="159">
        <v>228.83295194508008</v>
      </c>
    </row>
    <row r="369" spans="1:8">
      <c r="A369" s="166">
        <v>42231</v>
      </c>
      <c r="B369" s="159" t="s">
        <v>141</v>
      </c>
      <c r="C369" s="159" t="s">
        <v>62</v>
      </c>
      <c r="D369" s="159" t="s">
        <v>69</v>
      </c>
      <c r="E369" s="159">
        <v>1000</v>
      </c>
      <c r="F369" s="159" t="s">
        <v>51</v>
      </c>
      <c r="G369" s="159">
        <v>259.74025974025972</v>
      </c>
      <c r="H369" s="159">
        <v>228.83295194508008</v>
      </c>
    </row>
    <row r="370" spans="1:8">
      <c r="A370" s="166">
        <v>42262</v>
      </c>
      <c r="B370" s="159" t="s">
        <v>141</v>
      </c>
      <c r="C370" s="159" t="s">
        <v>62</v>
      </c>
      <c r="D370" s="159" t="s">
        <v>69</v>
      </c>
      <c r="E370" s="159">
        <v>1000</v>
      </c>
      <c r="F370" s="159" t="s">
        <v>51</v>
      </c>
      <c r="G370" s="159">
        <v>259.74025974025972</v>
      </c>
      <c r="H370" s="159">
        <v>228.83295194508008</v>
      </c>
    </row>
    <row r="371" spans="1:8">
      <c r="A371" s="166">
        <v>42292</v>
      </c>
      <c r="B371" s="159" t="s">
        <v>141</v>
      </c>
      <c r="C371" s="159" t="s">
        <v>62</v>
      </c>
      <c r="D371" s="159" t="s">
        <v>69</v>
      </c>
      <c r="E371" s="159">
        <v>1000</v>
      </c>
      <c r="F371" s="159" t="s">
        <v>51</v>
      </c>
      <c r="G371" s="159">
        <v>259.74025974025972</v>
      </c>
      <c r="H371" s="159">
        <v>228.83295194508008</v>
      </c>
    </row>
    <row r="372" spans="1:8">
      <c r="A372" s="166">
        <v>42323</v>
      </c>
      <c r="B372" s="159" t="s">
        <v>141</v>
      </c>
      <c r="C372" s="159" t="s">
        <v>62</v>
      </c>
      <c r="D372" s="159" t="s">
        <v>69</v>
      </c>
      <c r="E372" s="159">
        <v>1000</v>
      </c>
      <c r="F372" s="159" t="s">
        <v>51</v>
      </c>
      <c r="G372" s="159">
        <v>259.74025974025972</v>
      </c>
      <c r="H372" s="159">
        <v>228.83295194508008</v>
      </c>
    </row>
    <row r="373" spans="1:8">
      <c r="A373" s="166">
        <v>42353</v>
      </c>
      <c r="B373" s="159" t="s">
        <v>141</v>
      </c>
      <c r="C373" s="159" t="s">
        <v>62</v>
      </c>
      <c r="D373" s="159" t="s">
        <v>69</v>
      </c>
      <c r="E373" s="159">
        <v>1000</v>
      </c>
      <c r="F373" s="159" t="s">
        <v>51</v>
      </c>
      <c r="G373" s="159">
        <v>259.74025974025972</v>
      </c>
      <c r="H373" s="159">
        <v>228.83295194508008</v>
      </c>
    </row>
    <row r="374" spans="1:8">
      <c r="A374" s="166">
        <v>42023</v>
      </c>
      <c r="B374" s="159" t="s">
        <v>95</v>
      </c>
      <c r="C374" s="159" t="s">
        <v>1</v>
      </c>
      <c r="D374" s="159" t="s">
        <v>1</v>
      </c>
      <c r="E374" s="159">
        <v>4370</v>
      </c>
      <c r="F374" s="159" t="s">
        <v>23</v>
      </c>
      <c r="G374" s="159">
        <v>1135.0649350649351</v>
      </c>
      <c r="H374" s="159">
        <v>1000</v>
      </c>
    </row>
    <row r="375" spans="1:8">
      <c r="A375" s="166">
        <v>42054</v>
      </c>
      <c r="B375" s="159" t="s">
        <v>95</v>
      </c>
      <c r="C375" s="159" t="s">
        <v>1</v>
      </c>
      <c r="D375" s="159" t="s">
        <v>1</v>
      </c>
      <c r="E375" s="159">
        <v>4370</v>
      </c>
      <c r="F375" s="159" t="s">
        <v>23</v>
      </c>
      <c r="G375" s="159">
        <v>1135.0649350649351</v>
      </c>
      <c r="H375" s="159">
        <v>1000</v>
      </c>
    </row>
    <row r="376" spans="1:8">
      <c r="A376" s="166">
        <v>42082</v>
      </c>
      <c r="B376" s="159" t="s">
        <v>95</v>
      </c>
      <c r="C376" s="159" t="s">
        <v>1</v>
      </c>
      <c r="D376" s="159" t="s">
        <v>1</v>
      </c>
      <c r="E376" s="159">
        <v>4370</v>
      </c>
      <c r="F376" s="159" t="s">
        <v>23</v>
      </c>
      <c r="G376" s="159">
        <v>1135.0649350649351</v>
      </c>
      <c r="H376" s="159">
        <v>1000</v>
      </c>
    </row>
    <row r="377" spans="1:8">
      <c r="A377" s="166">
        <v>42113</v>
      </c>
      <c r="B377" s="159" t="s">
        <v>95</v>
      </c>
      <c r="C377" s="159" t="s">
        <v>1</v>
      </c>
      <c r="D377" s="159" t="s">
        <v>1</v>
      </c>
      <c r="E377" s="159">
        <v>4370</v>
      </c>
      <c r="F377" s="159" t="s">
        <v>23</v>
      </c>
      <c r="G377" s="159">
        <v>1135.0649350649351</v>
      </c>
      <c r="H377" s="159">
        <v>1000</v>
      </c>
    </row>
    <row r="378" spans="1:8">
      <c r="A378" s="166">
        <v>42143</v>
      </c>
      <c r="B378" s="159" t="s">
        <v>95</v>
      </c>
      <c r="C378" s="159" t="s">
        <v>1</v>
      </c>
      <c r="D378" s="159" t="s">
        <v>1</v>
      </c>
      <c r="E378" s="159">
        <v>4370</v>
      </c>
      <c r="F378" s="159" t="s">
        <v>23</v>
      </c>
      <c r="G378" s="159">
        <v>1135.0649350649351</v>
      </c>
      <c r="H378" s="159">
        <v>1000</v>
      </c>
    </row>
    <row r="379" spans="1:8">
      <c r="A379" s="166">
        <v>42174</v>
      </c>
      <c r="B379" s="159" t="s">
        <v>95</v>
      </c>
      <c r="C379" s="159" t="s">
        <v>1</v>
      </c>
      <c r="D379" s="159" t="s">
        <v>1</v>
      </c>
      <c r="E379" s="159">
        <v>4370</v>
      </c>
      <c r="F379" s="159" t="s">
        <v>23</v>
      </c>
      <c r="G379" s="159">
        <v>1135.0649350649351</v>
      </c>
      <c r="H379" s="159">
        <v>1000</v>
      </c>
    </row>
    <row r="380" spans="1:8">
      <c r="A380" s="166">
        <v>42204</v>
      </c>
      <c r="B380" s="159" t="s">
        <v>95</v>
      </c>
      <c r="C380" s="159" t="s">
        <v>1</v>
      </c>
      <c r="D380" s="159" t="s">
        <v>1</v>
      </c>
      <c r="E380" s="159">
        <v>4370</v>
      </c>
      <c r="F380" s="159" t="s">
        <v>23</v>
      </c>
      <c r="G380" s="159">
        <v>1135.0649350649351</v>
      </c>
      <c r="H380" s="159">
        <v>1000</v>
      </c>
    </row>
    <row r="381" spans="1:8">
      <c r="A381" s="166">
        <v>42235</v>
      </c>
      <c r="B381" s="159" t="s">
        <v>95</v>
      </c>
      <c r="C381" s="159" t="s">
        <v>1</v>
      </c>
      <c r="D381" s="159" t="s">
        <v>1</v>
      </c>
      <c r="E381" s="159">
        <v>4370</v>
      </c>
      <c r="F381" s="159" t="s">
        <v>23</v>
      </c>
      <c r="G381" s="159">
        <v>1135.0649350649351</v>
      </c>
      <c r="H381" s="159">
        <v>1000</v>
      </c>
    </row>
    <row r="382" spans="1:8">
      <c r="A382" s="166">
        <v>42266</v>
      </c>
      <c r="B382" s="159" t="s">
        <v>95</v>
      </c>
      <c r="C382" s="159" t="s">
        <v>1</v>
      </c>
      <c r="D382" s="159" t="s">
        <v>1</v>
      </c>
      <c r="E382" s="159">
        <v>4370</v>
      </c>
      <c r="F382" s="159" t="s">
        <v>23</v>
      </c>
      <c r="G382" s="159">
        <v>1135.0649350649351</v>
      </c>
      <c r="H382" s="159">
        <v>1000</v>
      </c>
    </row>
    <row r="383" spans="1:8">
      <c r="A383" s="166">
        <v>42296</v>
      </c>
      <c r="B383" s="159" t="s">
        <v>95</v>
      </c>
      <c r="C383" s="159" t="s">
        <v>1</v>
      </c>
      <c r="D383" s="159" t="s">
        <v>1</v>
      </c>
      <c r="E383" s="159">
        <v>4370</v>
      </c>
      <c r="F383" s="159" t="s">
        <v>23</v>
      </c>
      <c r="G383" s="159">
        <v>1135.0649350649351</v>
      </c>
      <c r="H383" s="159">
        <v>1000</v>
      </c>
    </row>
    <row r="384" spans="1:8">
      <c r="A384" s="166">
        <v>42327</v>
      </c>
      <c r="B384" s="159" t="s">
        <v>95</v>
      </c>
      <c r="C384" s="159" t="s">
        <v>1</v>
      </c>
      <c r="D384" s="159" t="s">
        <v>1</v>
      </c>
      <c r="E384" s="159">
        <v>4370</v>
      </c>
      <c r="F384" s="159" t="s">
        <v>23</v>
      </c>
      <c r="G384" s="159">
        <v>1135.0649350649351</v>
      </c>
      <c r="H384" s="159">
        <v>1000</v>
      </c>
    </row>
    <row r="385" spans="1:8">
      <c r="A385" s="166">
        <v>42357</v>
      </c>
      <c r="B385" s="159" t="s">
        <v>95</v>
      </c>
      <c r="C385" s="159" t="s">
        <v>1</v>
      </c>
      <c r="D385" s="159" t="s">
        <v>1</v>
      </c>
      <c r="E385" s="159">
        <v>4370</v>
      </c>
      <c r="F385" s="159" t="s">
        <v>23</v>
      </c>
      <c r="G385" s="159">
        <v>1135.0649350649351</v>
      </c>
      <c r="H385" s="159">
        <v>1000</v>
      </c>
    </row>
    <row r="386" spans="1:8">
      <c r="A386" s="166">
        <v>42029</v>
      </c>
      <c r="B386" s="159" t="s">
        <v>29</v>
      </c>
      <c r="C386" s="159" t="s">
        <v>62</v>
      </c>
      <c r="D386" s="159" t="s">
        <v>68</v>
      </c>
      <c r="E386" s="159">
        <v>21850</v>
      </c>
      <c r="F386" s="159" t="s">
        <v>23</v>
      </c>
      <c r="G386" s="159">
        <v>5675.3246753246749</v>
      </c>
      <c r="H386" s="159">
        <v>5000</v>
      </c>
    </row>
    <row r="387" spans="1:8">
      <c r="A387" s="166">
        <v>42060</v>
      </c>
      <c r="B387" s="159" t="s">
        <v>29</v>
      </c>
      <c r="C387" s="159" t="s">
        <v>62</v>
      </c>
      <c r="D387" s="159" t="s">
        <v>68</v>
      </c>
      <c r="E387" s="159">
        <v>21850</v>
      </c>
      <c r="F387" s="159" t="s">
        <v>23</v>
      </c>
      <c r="G387" s="159">
        <v>5675.3246753246749</v>
      </c>
      <c r="H387" s="159">
        <v>5000</v>
      </c>
    </row>
    <row r="388" spans="1:8">
      <c r="A388" s="166">
        <v>42088</v>
      </c>
      <c r="B388" s="159" t="s">
        <v>29</v>
      </c>
      <c r="C388" s="159" t="s">
        <v>62</v>
      </c>
      <c r="D388" s="159" t="s">
        <v>68</v>
      </c>
      <c r="E388" s="159">
        <v>21850</v>
      </c>
      <c r="F388" s="159" t="s">
        <v>23</v>
      </c>
      <c r="G388" s="159">
        <v>5675.3246753246749</v>
      </c>
      <c r="H388" s="159">
        <v>5000</v>
      </c>
    </row>
    <row r="389" spans="1:8">
      <c r="A389" s="166">
        <v>42119</v>
      </c>
      <c r="B389" s="159" t="s">
        <v>29</v>
      </c>
      <c r="C389" s="159" t="s">
        <v>62</v>
      </c>
      <c r="D389" s="159" t="s">
        <v>68</v>
      </c>
      <c r="E389" s="159">
        <v>21850</v>
      </c>
      <c r="F389" s="159" t="s">
        <v>23</v>
      </c>
      <c r="G389" s="159">
        <v>5675.3246753246749</v>
      </c>
      <c r="H389" s="159">
        <v>5000</v>
      </c>
    </row>
    <row r="390" spans="1:8">
      <c r="A390" s="166">
        <v>42149</v>
      </c>
      <c r="B390" s="159" t="s">
        <v>29</v>
      </c>
      <c r="C390" s="159" t="s">
        <v>62</v>
      </c>
      <c r="D390" s="159" t="s">
        <v>68</v>
      </c>
      <c r="E390" s="159">
        <v>21850</v>
      </c>
      <c r="F390" s="159" t="s">
        <v>23</v>
      </c>
      <c r="G390" s="159">
        <v>5675.3246753246749</v>
      </c>
      <c r="H390" s="159">
        <v>5000</v>
      </c>
    </row>
    <row r="391" spans="1:8">
      <c r="A391" s="166">
        <v>42180</v>
      </c>
      <c r="B391" s="159" t="s">
        <v>29</v>
      </c>
      <c r="C391" s="159" t="s">
        <v>62</v>
      </c>
      <c r="D391" s="159" t="s">
        <v>68</v>
      </c>
      <c r="E391" s="159">
        <v>21850</v>
      </c>
      <c r="F391" s="159" t="s">
        <v>23</v>
      </c>
      <c r="G391" s="159">
        <v>5675.3246753246749</v>
      </c>
      <c r="H391" s="159">
        <v>5000</v>
      </c>
    </row>
    <row r="392" spans="1:8">
      <c r="A392" s="166">
        <v>42210</v>
      </c>
      <c r="B392" s="159" t="s">
        <v>29</v>
      </c>
      <c r="C392" s="159" t="s">
        <v>62</v>
      </c>
      <c r="D392" s="159" t="s">
        <v>68</v>
      </c>
      <c r="E392" s="159">
        <v>21850</v>
      </c>
      <c r="F392" s="159" t="s">
        <v>23</v>
      </c>
      <c r="G392" s="159">
        <v>5675.3246753246749</v>
      </c>
      <c r="H392" s="159">
        <v>5000</v>
      </c>
    </row>
    <row r="393" spans="1:8">
      <c r="A393" s="166">
        <v>42241</v>
      </c>
      <c r="B393" s="159" t="s">
        <v>29</v>
      </c>
      <c r="C393" s="159" t="s">
        <v>62</v>
      </c>
      <c r="D393" s="159" t="s">
        <v>68</v>
      </c>
      <c r="E393" s="159">
        <v>21850</v>
      </c>
      <c r="F393" s="159" t="s">
        <v>23</v>
      </c>
      <c r="G393" s="159">
        <v>5675.3246753246749</v>
      </c>
      <c r="H393" s="159">
        <v>5000</v>
      </c>
    </row>
    <row r="394" spans="1:8">
      <c r="A394" s="166">
        <v>42272</v>
      </c>
      <c r="B394" s="159" t="s">
        <v>29</v>
      </c>
      <c r="C394" s="159" t="s">
        <v>62</v>
      </c>
      <c r="D394" s="159" t="s">
        <v>68</v>
      </c>
      <c r="E394" s="159">
        <v>21850</v>
      </c>
      <c r="F394" s="159" t="s">
        <v>23</v>
      </c>
      <c r="G394" s="159">
        <v>5675.3246753246749</v>
      </c>
      <c r="H394" s="159">
        <v>5000</v>
      </c>
    </row>
    <row r="395" spans="1:8">
      <c r="A395" s="166">
        <v>42302</v>
      </c>
      <c r="B395" s="159" t="s">
        <v>29</v>
      </c>
      <c r="C395" s="159" t="s">
        <v>62</v>
      </c>
      <c r="D395" s="159" t="s">
        <v>68</v>
      </c>
      <c r="E395" s="159">
        <v>21850</v>
      </c>
      <c r="F395" s="159" t="s">
        <v>23</v>
      </c>
      <c r="G395" s="159">
        <v>5675.3246753246749</v>
      </c>
      <c r="H395" s="159">
        <v>5000</v>
      </c>
    </row>
    <row r="396" spans="1:8">
      <c r="A396" s="166">
        <v>42333</v>
      </c>
      <c r="B396" s="159" t="s">
        <v>29</v>
      </c>
      <c r="C396" s="159" t="s">
        <v>62</v>
      </c>
      <c r="D396" s="159" t="s">
        <v>68</v>
      </c>
      <c r="E396" s="159">
        <v>21850</v>
      </c>
      <c r="F396" s="159" t="s">
        <v>23</v>
      </c>
      <c r="G396" s="159">
        <v>5675.3246753246749</v>
      </c>
      <c r="H396" s="159">
        <v>5000</v>
      </c>
    </row>
    <row r="397" spans="1:8">
      <c r="A397" s="166">
        <v>42363</v>
      </c>
      <c r="B397" s="159" t="s">
        <v>29</v>
      </c>
      <c r="C397" s="159" t="s">
        <v>62</v>
      </c>
      <c r="D397" s="159" t="s">
        <v>68</v>
      </c>
      <c r="E397" s="159">
        <v>21850</v>
      </c>
      <c r="F397" s="159" t="s">
        <v>23</v>
      </c>
      <c r="G397" s="159">
        <v>5675.3246753246749</v>
      </c>
      <c r="H397" s="159">
        <v>5000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3:N62"/>
  <sheetViews>
    <sheetView showGridLines="0" rightToLeft="1" tabSelected="1" zoomScaleNormal="100" workbookViewId="0">
      <selection activeCell="G60" sqref="G60"/>
    </sheetView>
  </sheetViews>
  <sheetFormatPr defaultColWidth="9" defaultRowHeight="15"/>
  <cols>
    <col min="1" max="1" width="6.7109375" style="14" customWidth="1"/>
    <col min="2" max="2" width="22.42578125" style="14" customWidth="1"/>
    <col min="3" max="12" width="13.85546875" style="14" customWidth="1"/>
    <col min="13" max="13" width="13.85546875" style="15" customWidth="1"/>
    <col min="14" max="14" width="13.85546875" style="14" customWidth="1"/>
    <col min="15" max="15" width="18" style="14" bestFit="1" customWidth="1"/>
    <col min="16" max="17" width="9" style="14"/>
    <col min="18" max="18" width="18" style="14" bestFit="1" customWidth="1"/>
    <col min="19" max="19" width="12.7109375" style="14" customWidth="1"/>
    <col min="20" max="20" width="9.7109375" style="14" bestFit="1" customWidth="1"/>
    <col min="21" max="16384" width="9" style="14"/>
  </cols>
  <sheetData>
    <row r="3" spans="2:14" ht="18.75">
      <c r="B3" s="16" t="s">
        <v>126</v>
      </c>
    </row>
    <row r="4" spans="2:14" ht="15.75" thickBot="1">
      <c r="C4" s="20"/>
    </row>
    <row r="5" spans="2:14" ht="15.75" thickBot="1">
      <c r="B5" s="21"/>
      <c r="C5" s="22" t="s">
        <v>7</v>
      </c>
      <c r="D5" s="21" t="s">
        <v>8</v>
      </c>
      <c r="E5" s="21" t="s">
        <v>9</v>
      </c>
      <c r="F5" s="21" t="s">
        <v>10</v>
      </c>
      <c r="G5" s="21" t="s">
        <v>11</v>
      </c>
      <c r="H5" s="21" t="s">
        <v>12</v>
      </c>
      <c r="I5" s="21" t="s">
        <v>13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</row>
    <row r="6" spans="2:14">
      <c r="C6" s="23"/>
      <c r="D6" s="24"/>
      <c r="E6" s="24">
        <f>Forecast2!C3</f>
        <v>42064</v>
      </c>
      <c r="F6" s="24">
        <f>Forecast3!C3</f>
        <v>42095</v>
      </c>
      <c r="G6" s="24">
        <f>Forecast4!C3</f>
        <v>42125</v>
      </c>
      <c r="H6" s="24">
        <f>Forecast5!C3</f>
        <v>42156</v>
      </c>
      <c r="I6" s="24">
        <f>Forecast6!C3</f>
        <v>42186</v>
      </c>
      <c r="J6" s="24">
        <f>Forecast7!C3</f>
        <v>42217</v>
      </c>
      <c r="K6" s="148">
        <f>J7+1</f>
        <v>42248</v>
      </c>
      <c r="L6" s="148">
        <f t="shared" ref="L6:N6" si="0">K7+1</f>
        <v>42278</v>
      </c>
      <c r="M6" s="148">
        <f t="shared" si="0"/>
        <v>42309</v>
      </c>
      <c r="N6" s="148">
        <f t="shared" si="0"/>
        <v>42339</v>
      </c>
    </row>
    <row r="7" spans="2:14">
      <c r="C7" s="23"/>
      <c r="D7" s="24"/>
      <c r="E7" s="24">
        <f>Forecast2!C4</f>
        <v>42094</v>
      </c>
      <c r="F7" s="24">
        <f>Forecast3!C4</f>
        <v>42124</v>
      </c>
      <c r="G7" s="24">
        <f>Forecast4!C4</f>
        <v>42155</v>
      </c>
      <c r="H7" s="24">
        <f>Forecast5!C4</f>
        <v>42185</v>
      </c>
      <c r="I7" s="24">
        <f>Forecast6!C4</f>
        <v>42216</v>
      </c>
      <c r="J7" s="24">
        <f>Forecast7!C4</f>
        <v>42247</v>
      </c>
      <c r="K7" s="24">
        <f>EOMONTH(K6,0)</f>
        <v>42277</v>
      </c>
      <c r="L7" s="24">
        <f t="shared" ref="L7:N7" si="1">EOMONTH(L6,0)</f>
        <v>42308</v>
      </c>
      <c r="M7" s="24">
        <f t="shared" si="1"/>
        <v>42338</v>
      </c>
      <c r="N7" s="24">
        <f t="shared" si="1"/>
        <v>42369</v>
      </c>
    </row>
    <row r="8" spans="2:14">
      <c r="C8" s="20"/>
      <c r="M8" s="14"/>
    </row>
    <row r="9" spans="2:14">
      <c r="B9" s="25" t="s">
        <v>127</v>
      </c>
      <c r="C9" s="20"/>
      <c r="M9" s="14"/>
    </row>
    <row r="10" spans="2:14">
      <c r="B10" s="137" t="s">
        <v>89</v>
      </c>
      <c r="C10" s="17"/>
      <c r="D10" s="17"/>
      <c r="E10" s="17">
        <f t="shared" ref="E10:J10" si="2">SUM(E50:E50)/USD</f>
        <v>25974.025974025972</v>
      </c>
      <c r="F10" s="17">
        <f t="shared" si="2"/>
        <v>25974.025974025972</v>
      </c>
      <c r="G10" s="17">
        <f t="shared" si="2"/>
        <v>25974.025974025972</v>
      </c>
      <c r="H10" s="17">
        <f t="shared" si="2"/>
        <v>25974.025974025972</v>
      </c>
      <c r="I10" s="17">
        <f t="shared" si="2"/>
        <v>25974.025974025972</v>
      </c>
      <c r="J10" s="17">
        <f t="shared" si="2"/>
        <v>25974.025974025972</v>
      </c>
      <c r="K10" s="17"/>
      <c r="L10" s="17"/>
      <c r="M10" s="17"/>
      <c r="N10" s="17"/>
    </row>
    <row r="11" spans="2:14">
      <c r="B11" s="14" t="s">
        <v>1</v>
      </c>
      <c r="C11" s="17"/>
      <c r="D11" s="17"/>
      <c r="E11" s="17">
        <f>-SUMIFS(FlatDataset[Amount (ILS)],FlatDataset[Type 2],$B11,FlatDataset[Date],"&gt;="&amp;E$6,FlatDataset[Date],"&lt;="&amp;E$7)/USD</f>
        <v>-3732.4675324675322</v>
      </c>
      <c r="F11" s="17">
        <f>-SUMIFS(FlatDataset[Amount (ILS)],FlatDataset[Type 2],$B11,FlatDataset[Date],"&gt;="&amp;F$6,FlatDataset[Date],"&lt;="&amp;F$7)/USD</f>
        <v>-3732.4675324675322</v>
      </c>
      <c r="G11" s="17">
        <f>-SUMIFS(FlatDataset[Amount (ILS)],FlatDataset[Type 2],$B11,FlatDataset[Date],"&gt;="&amp;G$6,FlatDataset[Date],"&lt;="&amp;G$7)/USD</f>
        <v>-3732.4675324675322</v>
      </c>
      <c r="H11" s="17">
        <f>-SUMIFS(FlatDataset[Amount (ILS)],FlatDataset[Type 2],$B11,FlatDataset[Date],"&gt;="&amp;H$6,FlatDataset[Date],"&lt;="&amp;H$7)/USD</f>
        <v>-3732.4675324675322</v>
      </c>
      <c r="I11" s="17">
        <f>-SUMIFS(FlatDataset[Amount (ILS)],FlatDataset[Type 2],$B11,FlatDataset[Date],"&gt;="&amp;I$6,FlatDataset[Date],"&lt;="&amp;I$7)/USD</f>
        <v>-3732.4675324675322</v>
      </c>
      <c r="J11" s="17">
        <f>-SUMIFS(FlatDataset[Amount (ILS)],FlatDataset[Type 2],$B11,FlatDataset[Date],"&gt;="&amp;J$6,FlatDataset[Date],"&lt;="&amp;J$7)/USD</f>
        <v>-3732.4675324675322</v>
      </c>
      <c r="K11" s="17"/>
      <c r="L11" s="17"/>
      <c r="M11" s="17"/>
      <c r="N11" s="17"/>
    </row>
    <row r="12" spans="2:14">
      <c r="B12" s="27" t="s">
        <v>106</v>
      </c>
      <c r="C12" s="28"/>
      <c r="D12" s="28"/>
      <c r="E12" s="28">
        <f t="shared" ref="E12:N12" si="3">SUM(E10:E11)</f>
        <v>22241.558441558438</v>
      </c>
      <c r="F12" s="28">
        <f t="shared" si="3"/>
        <v>22241.558441558438</v>
      </c>
      <c r="G12" s="28">
        <f t="shared" si="3"/>
        <v>22241.558441558438</v>
      </c>
      <c r="H12" s="28">
        <f t="shared" si="3"/>
        <v>22241.558441558438</v>
      </c>
      <c r="I12" s="28">
        <f t="shared" si="3"/>
        <v>22241.558441558438</v>
      </c>
      <c r="J12" s="28">
        <f t="shared" si="3"/>
        <v>22241.558441558438</v>
      </c>
      <c r="K12" s="28">
        <f t="shared" si="3"/>
        <v>0</v>
      </c>
      <c r="L12" s="28">
        <f t="shared" si="3"/>
        <v>0</v>
      </c>
      <c r="M12" s="28">
        <f t="shared" si="3"/>
        <v>0</v>
      </c>
      <c r="N12" s="28">
        <f t="shared" si="3"/>
        <v>0</v>
      </c>
    </row>
    <row r="13" spans="2:14">
      <c r="C13" s="20"/>
      <c r="E13" s="19"/>
      <c r="M13" s="14"/>
    </row>
    <row r="14" spans="2:14">
      <c r="B14" s="25" t="s">
        <v>88</v>
      </c>
      <c r="C14" s="20"/>
      <c r="M14" s="14"/>
    </row>
    <row r="15" spans="2:14">
      <c r="B15" s="29" t="s">
        <v>2</v>
      </c>
      <c r="C15" s="17"/>
      <c r="D15" s="17"/>
      <c r="E15" s="17">
        <f>-SUMIFS(FlatDataset[Amount (ILS)],FlatDataset[Type 1],$B15,FlatDataset[Date],"&gt;="&amp;E$6,FlatDataset[Date],"&lt;="&amp;E$7)/USD</f>
        <v>-5483.1168831168834</v>
      </c>
      <c r="F15" s="17">
        <f>-SUMIFS(FlatDataset[Amount (ILS)],FlatDataset[Type 1],$B15,FlatDataset[Date],"&gt;="&amp;F$6,FlatDataset[Date],"&lt;="&amp;F$7)/USD</f>
        <v>-4703.8961038961033</v>
      </c>
      <c r="G15" s="17">
        <f>-SUMIFS(FlatDataset[Amount (ILS)],FlatDataset[Type 1],$B15,FlatDataset[Date],"&gt;="&amp;G$6,FlatDataset[Date],"&lt;="&amp;G$7)/USD</f>
        <v>-4703.8961038961033</v>
      </c>
      <c r="H15" s="17">
        <f>-SUMIFS(FlatDataset[Amount (ILS)],FlatDataset[Type 1],$B15,FlatDataset[Date],"&gt;="&amp;H$6,FlatDataset[Date],"&lt;="&amp;H$7)/USD</f>
        <v>-4703.8961038961033</v>
      </c>
      <c r="I15" s="17">
        <f>-SUMIFS(FlatDataset[Amount (ILS)],FlatDataset[Type 1],$B15,FlatDataset[Date],"&gt;="&amp;I$6,FlatDataset[Date],"&lt;="&amp;I$7)/USD</f>
        <v>-4703.8961038961033</v>
      </c>
      <c r="J15" s="17">
        <f>-SUMIFS(FlatDataset[Amount (ILS)],FlatDataset[Type 1],$B15,FlatDataset[Date],"&gt;="&amp;J$6,FlatDataset[Date],"&lt;="&amp;J$7)/USD</f>
        <v>-4703.8961038961033</v>
      </c>
      <c r="K15" s="17">
        <f>-SUMIFS(FlatDataset[Amount (ILS)],FlatDataset[Type 1],$B15,FlatDataset[Date],"&gt;="&amp;K$6,FlatDataset[Date],"&lt;="&amp;K$7)/USD</f>
        <v>-4703.8961038961033</v>
      </c>
      <c r="L15" s="17">
        <f>-SUMIFS(FlatDataset[Amount (ILS)],FlatDataset[Type 1],$B15,FlatDataset[Date],"&gt;="&amp;L$6,FlatDataset[Date],"&lt;="&amp;L$7)/USD</f>
        <v>-4703.8961038961033</v>
      </c>
      <c r="M15" s="17">
        <f>-SUMIFS(FlatDataset[Amount (ILS)],FlatDataset[Type 1],$B15,FlatDataset[Date],"&gt;="&amp;M$6,FlatDataset[Date],"&lt;="&amp;M$7)/USD</f>
        <v>-4703.8961038961033</v>
      </c>
      <c r="N15" s="17">
        <f>-SUMIFS(FlatDataset[Amount (ILS)],FlatDataset[Type 1],$B15,FlatDataset[Date],"&gt;="&amp;N$6,FlatDataset[Date],"&lt;="&amp;N$7)/USD</f>
        <v>-4703.8961038961033</v>
      </c>
    </row>
    <row r="16" spans="2:14">
      <c r="B16" s="29" t="s">
        <v>68</v>
      </c>
      <c r="C16" s="17"/>
      <c r="D16" s="17"/>
      <c r="E16" s="17">
        <f>-SUMIFS(FlatDataset[Amount (ILS)],FlatDataset[Type 1],$B16,FlatDataset[Date],"&gt;="&amp;E$6,FlatDataset[Date],"&lt;="&amp;E$7)/USD</f>
        <v>-49831.168831168827</v>
      </c>
      <c r="F16" s="17">
        <f>-SUMIFS(FlatDataset[Amount (ILS)],FlatDataset[Type 1],$B16,FlatDataset[Date],"&gt;="&amp;F$6,FlatDataset[Date],"&lt;="&amp;F$7)/USD</f>
        <v>-49831.168831168827</v>
      </c>
      <c r="G16" s="17">
        <f>-SUMIFS(FlatDataset[Amount (ILS)],FlatDataset[Type 1],$B16,FlatDataset[Date],"&gt;="&amp;G$6,FlatDataset[Date],"&lt;="&amp;G$7)/USD</f>
        <v>-49831.168831168827</v>
      </c>
      <c r="H16" s="17">
        <f>-SUMIFS(FlatDataset[Amount (ILS)],FlatDataset[Type 1],$B16,FlatDataset[Date],"&gt;="&amp;H$6,FlatDataset[Date],"&lt;="&amp;H$7)/USD</f>
        <v>-49831.168831168827</v>
      </c>
      <c r="I16" s="17">
        <f>-SUMIFS(FlatDataset[Amount (ILS)],FlatDataset[Type 1],$B16,FlatDataset[Date],"&gt;="&amp;I$6,FlatDataset[Date],"&lt;="&amp;I$7)/USD</f>
        <v>-49831.168831168827</v>
      </c>
      <c r="J16" s="17">
        <f>-SUMIFS(FlatDataset[Amount (ILS)],FlatDataset[Type 1],$B16,FlatDataset[Date],"&gt;="&amp;J$6,FlatDataset[Date],"&lt;="&amp;J$7)/USD</f>
        <v>-49831.168831168827</v>
      </c>
      <c r="K16" s="17">
        <f>-SUMIFS(FlatDataset[Amount (ILS)],FlatDataset[Type 1],$B16,FlatDataset[Date],"&gt;="&amp;K$6,FlatDataset[Date],"&lt;="&amp;K$7)/USD</f>
        <v>-49831.168831168827</v>
      </c>
      <c r="L16" s="17">
        <f>-SUMIFS(FlatDataset[Amount (ILS)],FlatDataset[Type 1],$B16,FlatDataset[Date],"&gt;="&amp;L$6,FlatDataset[Date],"&lt;="&amp;L$7)/USD</f>
        <v>-49831.168831168827</v>
      </c>
      <c r="M16" s="17">
        <f>-SUMIFS(FlatDataset[Amount (ILS)],FlatDataset[Type 1],$B16,FlatDataset[Date],"&gt;="&amp;M$6,FlatDataset[Date],"&lt;="&amp;M$7)/USD</f>
        <v>-49831.168831168827</v>
      </c>
      <c r="N16" s="17">
        <f>-SUMIFS(FlatDataset[Amount (ILS)],FlatDataset[Type 1],$B16,FlatDataset[Date],"&gt;="&amp;N$6,FlatDataset[Date],"&lt;="&amp;N$7)/USD</f>
        <v>-49831.168831168827</v>
      </c>
    </row>
    <row r="17" spans="1:14">
      <c r="B17" s="29" t="s">
        <v>69</v>
      </c>
      <c r="C17" s="17"/>
      <c r="D17" s="17"/>
      <c r="E17" s="17">
        <f>-SUMIFS(FlatDataset[Amount (ILS)],FlatDataset[Type 1],$B17,FlatDataset[Date],"&gt;="&amp;E$6,FlatDataset[Date],"&lt;="&amp;E$7)/USD</f>
        <v>-4766.2337662337659</v>
      </c>
      <c r="F17" s="17">
        <f>-SUMIFS(FlatDataset[Amount (ILS)],FlatDataset[Type 1],$B17,FlatDataset[Date],"&gt;="&amp;F$6,FlatDataset[Date],"&lt;="&amp;F$7)/USD</f>
        <v>-3467.5324675324673</v>
      </c>
      <c r="G17" s="17">
        <f>-SUMIFS(FlatDataset[Amount (ILS)],FlatDataset[Type 1],$B17,FlatDataset[Date],"&gt;="&amp;G$6,FlatDataset[Date],"&lt;="&amp;G$7)/USD</f>
        <v>-2168.8311688311687</v>
      </c>
      <c r="H17" s="17">
        <f>-SUMIFS(FlatDataset[Amount (ILS)],FlatDataset[Type 1],$B17,FlatDataset[Date],"&gt;="&amp;H$6,FlatDataset[Date],"&lt;="&amp;H$7)/USD</f>
        <v>-2168.8311688311687</v>
      </c>
      <c r="I17" s="17">
        <f>-SUMIFS(FlatDataset[Amount (ILS)],FlatDataset[Type 1],$B17,FlatDataset[Date],"&gt;="&amp;I$6,FlatDataset[Date],"&lt;="&amp;I$7)/USD</f>
        <v>-3068.8311688311687</v>
      </c>
      <c r="J17" s="17">
        <f>-SUMIFS(FlatDataset[Amount (ILS)],FlatDataset[Type 1],$B17,FlatDataset[Date],"&gt;="&amp;J$6,FlatDataset[Date],"&lt;="&amp;J$7)/USD</f>
        <v>-3068.8311688311687</v>
      </c>
      <c r="K17" s="17">
        <f>-SUMIFS(FlatDataset[Amount (ILS)],FlatDataset[Type 1],$B17,FlatDataset[Date],"&gt;="&amp;K$6,FlatDataset[Date],"&lt;="&amp;K$7)/USD</f>
        <v>-3068.8311688311687</v>
      </c>
      <c r="L17" s="17">
        <f>-SUMIFS(FlatDataset[Amount (ILS)],FlatDataset[Type 1],$B17,FlatDataset[Date],"&gt;="&amp;L$6,FlatDataset[Date],"&lt;="&amp;L$7)/USD</f>
        <v>-3068.8311688311687</v>
      </c>
      <c r="M17" s="17">
        <f>-SUMIFS(FlatDataset[Amount (ILS)],FlatDataset[Type 1],$B17,FlatDataset[Date],"&gt;="&amp;M$6,FlatDataset[Date],"&lt;="&amp;M$7)/USD</f>
        <v>-3068.8311688311687</v>
      </c>
      <c r="N17" s="17">
        <f>-SUMIFS(FlatDataset[Amount (ILS)],FlatDataset[Type 1],$B17,FlatDataset[Date],"&gt;="&amp;N$6,FlatDataset[Date],"&lt;="&amp;N$7)/USD</f>
        <v>-3068.8311688311687</v>
      </c>
    </row>
    <row r="18" spans="1:14">
      <c r="B18" s="29" t="s">
        <v>71</v>
      </c>
      <c r="C18" s="17"/>
      <c r="D18" s="17"/>
      <c r="E18" s="17">
        <f>-SUMIFS(FlatDataset[Amount (ILS)],FlatDataset[Type 1],$B18,FlatDataset[Date],"&gt;="&amp;E$6,FlatDataset[Date],"&lt;="&amp;E$7)/USD</f>
        <v>-519.48051948051943</v>
      </c>
      <c r="F18" s="17">
        <f>-SUMIFS(FlatDataset[Amount (ILS)],FlatDataset[Type 1],$B18,FlatDataset[Date],"&gt;="&amp;F$6,FlatDataset[Date],"&lt;="&amp;F$7)/USD</f>
        <v>0</v>
      </c>
      <c r="G18" s="17">
        <f>-SUMIFS(FlatDataset[Amount (ILS)],FlatDataset[Type 1],$B18,FlatDataset[Date],"&gt;="&amp;G$6,FlatDataset[Date],"&lt;="&amp;G$7)/USD</f>
        <v>0</v>
      </c>
      <c r="H18" s="17">
        <f>-SUMIFS(FlatDataset[Amount (ILS)],FlatDataset[Type 1],$B18,FlatDataset[Date],"&gt;="&amp;H$6,FlatDataset[Date],"&lt;="&amp;H$7)/USD</f>
        <v>0</v>
      </c>
      <c r="I18" s="17">
        <f>-SUMIFS(FlatDataset[Amount (ILS)],FlatDataset[Type 1],$B18,FlatDataset[Date],"&gt;="&amp;I$6,FlatDataset[Date],"&lt;="&amp;I$7)/USD</f>
        <v>0</v>
      </c>
      <c r="J18" s="17">
        <f>-SUMIFS(FlatDataset[Amount (ILS)],FlatDataset[Type 1],$B18,FlatDataset[Date],"&gt;="&amp;J$6,FlatDataset[Date],"&lt;="&amp;J$7)/USD</f>
        <v>0</v>
      </c>
      <c r="K18" s="17">
        <f>-SUMIFS(FlatDataset[Amount (ILS)],FlatDataset[Type 1],$B18,FlatDataset[Date],"&gt;="&amp;K$6,FlatDataset[Date],"&lt;="&amp;K$7)/USD</f>
        <v>0</v>
      </c>
      <c r="L18" s="17">
        <f>-SUMIFS(FlatDataset[Amount (ILS)],FlatDataset[Type 1],$B18,FlatDataset[Date],"&gt;="&amp;L$6,FlatDataset[Date],"&lt;="&amp;L$7)/USD</f>
        <v>0</v>
      </c>
      <c r="M18" s="17">
        <f>-SUMIFS(FlatDataset[Amount (ILS)],FlatDataset[Type 1],$B18,FlatDataset[Date],"&gt;="&amp;M$6,FlatDataset[Date],"&lt;="&amp;M$7)/USD</f>
        <v>0</v>
      </c>
      <c r="N18" s="17">
        <f>-SUMIFS(FlatDataset[Amount (ILS)],FlatDataset[Type 1],$B18,FlatDataset[Date],"&gt;="&amp;N$6,FlatDataset[Date],"&lt;="&amp;N$7)/USD</f>
        <v>0</v>
      </c>
    </row>
    <row r="19" spans="1:14">
      <c r="B19" s="29" t="s">
        <v>72</v>
      </c>
      <c r="C19" s="17"/>
      <c r="D19" s="17"/>
      <c r="E19" s="17">
        <f>-SUMIFS(FlatDataset[Amount (ILS)],FlatDataset[Type 1],$B19,FlatDataset[Date],"&gt;="&amp;E$6,FlatDataset[Date],"&lt;="&amp;E$7)/USD</f>
        <v>-1818.1818181818182</v>
      </c>
      <c r="F19" s="17">
        <f>-SUMIFS(FlatDataset[Amount (ILS)],FlatDataset[Type 1],$B19,FlatDataset[Date],"&gt;="&amp;F$6,FlatDataset[Date],"&lt;="&amp;F$7)/USD</f>
        <v>-779.22077922077915</v>
      </c>
      <c r="G19" s="17">
        <f>-SUMIFS(FlatDataset[Amount (ILS)],FlatDataset[Type 1],$B19,FlatDataset[Date],"&gt;="&amp;G$6,FlatDataset[Date],"&lt;="&amp;G$7)/USD</f>
        <v>-779.22077922077915</v>
      </c>
      <c r="H19" s="17">
        <f>-SUMIFS(FlatDataset[Amount (ILS)],FlatDataset[Type 1],$B19,FlatDataset[Date],"&gt;="&amp;H$6,FlatDataset[Date],"&lt;="&amp;H$7)/USD</f>
        <v>-779.22077922077915</v>
      </c>
      <c r="I19" s="17">
        <f>-SUMIFS(FlatDataset[Amount (ILS)],FlatDataset[Type 1],$B19,FlatDataset[Date],"&gt;="&amp;I$6,FlatDataset[Date],"&lt;="&amp;I$7)/USD</f>
        <v>-779.22077922077915</v>
      </c>
      <c r="J19" s="17">
        <f>-SUMIFS(FlatDataset[Amount (ILS)],FlatDataset[Type 1],$B19,FlatDataset[Date],"&gt;="&amp;J$6,FlatDataset[Date],"&lt;="&amp;J$7)/USD</f>
        <v>-779.22077922077915</v>
      </c>
      <c r="K19" s="17">
        <f>-SUMIFS(FlatDataset[Amount (ILS)],FlatDataset[Type 1],$B19,FlatDataset[Date],"&gt;="&amp;K$6,FlatDataset[Date],"&lt;="&amp;K$7)/USD</f>
        <v>-779.22077922077915</v>
      </c>
      <c r="L19" s="17">
        <f>-SUMIFS(FlatDataset[Amount (ILS)],FlatDataset[Type 1],$B19,FlatDataset[Date],"&gt;="&amp;L$6,FlatDataset[Date],"&lt;="&amp;L$7)/USD</f>
        <v>-779.22077922077915</v>
      </c>
      <c r="M19" s="17">
        <f>-SUMIFS(FlatDataset[Amount (ILS)],FlatDataset[Type 1],$B19,FlatDataset[Date],"&gt;="&amp;M$6,FlatDataset[Date],"&lt;="&amp;M$7)/USD</f>
        <v>-779.22077922077915</v>
      </c>
      <c r="N19" s="17">
        <f>-SUMIFS(FlatDataset[Amount (ILS)],FlatDataset[Type 1],$B19,FlatDataset[Date],"&gt;="&amp;N$6,FlatDataset[Date],"&lt;="&amp;N$7)/USD</f>
        <v>-779.22077922077915</v>
      </c>
    </row>
    <row r="20" spans="1:14">
      <c r="B20" s="29" t="s">
        <v>67</v>
      </c>
      <c r="C20" s="30"/>
      <c r="D20" s="17"/>
      <c r="E20" s="17">
        <f>-SUMIFS(FlatDataset[Amount (ILS)],FlatDataset[Type 1],$B20,FlatDataset[Date],"&gt;="&amp;E$6,FlatDataset[Date],"&lt;="&amp;E$7)/USD</f>
        <v>0</v>
      </c>
      <c r="F20" s="17">
        <f>-SUMIFS(FlatDataset[Amount (ILS)],FlatDataset[Type 1],$B20,FlatDataset[Date],"&gt;="&amp;F$6,FlatDataset[Date],"&lt;="&amp;F$7)/USD</f>
        <v>0</v>
      </c>
      <c r="G20" s="17">
        <f>-SUMIFS(FlatDataset[Amount (ILS)],FlatDataset[Type 1],$B20,FlatDataset[Date],"&gt;="&amp;G$6,FlatDataset[Date],"&lt;="&amp;G$7)/USD</f>
        <v>0</v>
      </c>
      <c r="H20" s="17">
        <f>-SUMIFS(FlatDataset[Amount (ILS)],FlatDataset[Type 1],$B20,FlatDataset[Date],"&gt;="&amp;H$6,FlatDataset[Date],"&lt;="&amp;H$7)/USD</f>
        <v>0</v>
      </c>
      <c r="I20" s="17">
        <f>-SUMIFS(FlatDataset[Amount (ILS)],FlatDataset[Type 1],$B20,FlatDataset[Date],"&gt;="&amp;I$6,FlatDataset[Date],"&lt;="&amp;I$7)/USD</f>
        <v>0</v>
      </c>
      <c r="J20" s="17">
        <f>-SUMIFS(FlatDataset[Amount (ILS)],FlatDataset[Type 1],$B20,FlatDataset[Date],"&gt;="&amp;J$6,FlatDataset[Date],"&lt;="&amp;J$7)/USD</f>
        <v>0</v>
      </c>
      <c r="K20" s="17">
        <f>-SUMIFS(FlatDataset[Amount (ILS)],FlatDataset[Type 1],$B20,FlatDataset[Date],"&gt;="&amp;K$6,FlatDataset[Date],"&lt;="&amp;K$7)/USD</f>
        <v>0</v>
      </c>
      <c r="L20" s="17">
        <f>-SUMIFS(FlatDataset[Amount (ILS)],FlatDataset[Type 1],$B20,FlatDataset[Date],"&gt;="&amp;L$6,FlatDataset[Date],"&lt;="&amp;L$7)/USD</f>
        <v>0</v>
      </c>
      <c r="M20" s="17">
        <f>-SUMIFS(FlatDataset[Amount (ILS)],FlatDataset[Type 1],$B20,FlatDataset[Date],"&gt;="&amp;M$6,FlatDataset[Date],"&lt;="&amp;M$7)/USD</f>
        <v>0</v>
      </c>
      <c r="N20" s="17">
        <f>-SUMIFS(FlatDataset[Amount (ILS)],FlatDataset[Type 1],$B20,FlatDataset[Date],"&gt;="&amp;N$6,FlatDataset[Date],"&lt;="&amp;N$7)/USD</f>
        <v>0</v>
      </c>
    </row>
    <row r="21" spans="1:14">
      <c r="B21" s="29" t="s">
        <v>70</v>
      </c>
      <c r="C21" s="17"/>
      <c r="D21" s="17"/>
      <c r="E21" s="17">
        <f>-SUMIFS(FlatDataset[Amount (ILS)],FlatDataset[Type 1],$B21,FlatDataset[Date],"&gt;="&amp;E$6,FlatDataset[Date],"&lt;="&amp;E$7)/USD</f>
        <v>-779.22077922077915</v>
      </c>
      <c r="F21" s="17">
        <f>-SUMIFS(FlatDataset[Amount (ILS)],FlatDataset[Type 1],$B21,FlatDataset[Date],"&gt;="&amp;F$6,FlatDataset[Date],"&lt;="&amp;F$7)/USD</f>
        <v>-519.48051948051943</v>
      </c>
      <c r="G21" s="17">
        <f>-SUMIFS(FlatDataset[Amount (ILS)],FlatDataset[Type 1],$B21,FlatDataset[Date],"&gt;="&amp;G$6,FlatDataset[Date],"&lt;="&amp;G$7)/USD</f>
        <v>-519.48051948051943</v>
      </c>
      <c r="H21" s="17">
        <f>-SUMIFS(FlatDataset[Amount (ILS)],FlatDataset[Type 1],$B21,FlatDataset[Date],"&gt;="&amp;H$6,FlatDataset[Date],"&lt;="&amp;H$7)/USD</f>
        <v>-519.48051948051943</v>
      </c>
      <c r="I21" s="17">
        <f>-SUMIFS(FlatDataset[Amount (ILS)],FlatDataset[Type 1],$B21,FlatDataset[Date],"&gt;="&amp;I$6,FlatDataset[Date],"&lt;="&amp;I$7)/USD</f>
        <v>-519.48051948051943</v>
      </c>
      <c r="J21" s="17">
        <f>-SUMIFS(FlatDataset[Amount (ILS)],FlatDataset[Type 1],$B21,FlatDataset[Date],"&gt;="&amp;J$6,FlatDataset[Date],"&lt;="&amp;J$7)/USD</f>
        <v>-519.48051948051943</v>
      </c>
      <c r="K21" s="17">
        <f>-SUMIFS(FlatDataset[Amount (ILS)],FlatDataset[Type 1],$B21,FlatDataset[Date],"&gt;="&amp;K$6,FlatDataset[Date],"&lt;="&amp;K$7)/USD</f>
        <v>-519.48051948051943</v>
      </c>
      <c r="L21" s="17">
        <f>-SUMIFS(FlatDataset[Amount (ILS)],FlatDataset[Type 1],$B21,FlatDataset[Date],"&gt;="&amp;L$6,FlatDataset[Date],"&lt;="&amp;L$7)/USD</f>
        <v>-519.48051948051943</v>
      </c>
      <c r="M21" s="17">
        <f>-SUMIFS(FlatDataset[Amount (ILS)],FlatDataset[Type 1],$B21,FlatDataset[Date],"&gt;="&amp;M$6,FlatDataset[Date],"&lt;="&amp;M$7)/USD</f>
        <v>-519.48051948051943</v>
      </c>
      <c r="N21" s="17">
        <f>-SUMIFS(FlatDataset[Amount (ILS)],FlatDataset[Type 1],$B21,FlatDataset[Date],"&gt;="&amp;N$6,FlatDataset[Date],"&lt;="&amp;N$7)/USD</f>
        <v>-519.48051948051943</v>
      </c>
    </row>
    <row r="22" spans="1:14">
      <c r="B22" s="31" t="s">
        <v>6</v>
      </c>
      <c r="C22" s="32"/>
      <c r="D22" s="32"/>
      <c r="E22" s="32">
        <f>-SUMIFS(FlatDataset[Amount (ILS)],FlatDataset[Type 1],$B22,FlatDataset[Date],"&gt;="&amp;E$6,FlatDataset[Date],"&lt;="&amp;E$7)/USD</f>
        <v>-4155.8441558441555</v>
      </c>
      <c r="F22" s="32">
        <f>-SUMIFS(FlatDataset[Amount (ILS)],FlatDataset[Type 1],$B22,FlatDataset[Date],"&gt;="&amp;F$6,FlatDataset[Date],"&lt;="&amp;F$7)/USD</f>
        <v>-4155.8441558441555</v>
      </c>
      <c r="G22" s="32">
        <f>-SUMIFS(FlatDataset[Amount (ILS)],FlatDataset[Type 1],$B22,FlatDataset[Date],"&gt;="&amp;G$6,FlatDataset[Date],"&lt;="&amp;G$7)/USD</f>
        <v>-3376.6233766233768</v>
      </c>
      <c r="H22" s="32">
        <f>-SUMIFS(FlatDataset[Amount (ILS)],FlatDataset[Type 1],$B22,FlatDataset[Date],"&gt;="&amp;H$6,FlatDataset[Date],"&lt;="&amp;H$7)/USD</f>
        <v>-4155.8441558441555</v>
      </c>
      <c r="I22" s="32">
        <f>-SUMIFS(FlatDataset[Amount (ILS)],FlatDataset[Type 1],$B22,FlatDataset[Date],"&gt;="&amp;I$6,FlatDataset[Date],"&lt;="&amp;I$7)/USD</f>
        <v>-4155.8441558441555</v>
      </c>
      <c r="J22" s="32">
        <f>-SUMIFS(FlatDataset[Amount (ILS)],FlatDataset[Type 1],$B22,FlatDataset[Date],"&gt;="&amp;J$6,FlatDataset[Date],"&lt;="&amp;J$7)/USD</f>
        <v>-3376.6233766233768</v>
      </c>
      <c r="K22" s="32">
        <f>-SUMIFS(FlatDataset[Amount (ILS)],FlatDataset[Type 1],$B22,FlatDataset[Date],"&gt;="&amp;K$6,FlatDataset[Date],"&lt;="&amp;K$7)/USD</f>
        <v>-4155.8441558441555</v>
      </c>
      <c r="L22" s="32">
        <f>-SUMIFS(FlatDataset[Amount (ILS)],FlatDataset[Type 1],$B22,FlatDataset[Date],"&gt;="&amp;L$6,FlatDataset[Date],"&lt;="&amp;L$7)/USD</f>
        <v>-4155.8441558441555</v>
      </c>
      <c r="M22" s="32">
        <f>-SUMIFS(FlatDataset[Amount (ILS)],FlatDataset[Type 1],$B22,FlatDataset[Date],"&gt;="&amp;M$6,FlatDataset[Date],"&lt;="&amp;M$7)/USD</f>
        <v>-3376.6233766233768</v>
      </c>
      <c r="N22" s="32">
        <f>-SUMIFS(FlatDataset[Amount (ILS)],FlatDataset[Type 1],$B22,FlatDataset[Date],"&gt;="&amp;N$6,FlatDataset[Date],"&lt;="&amp;N$7)/USD</f>
        <v>-3376.6233766233768</v>
      </c>
    </row>
    <row r="23" spans="1:14">
      <c r="B23" s="33" t="s">
        <v>97</v>
      </c>
      <c r="C23" s="18"/>
      <c r="D23" s="18"/>
      <c r="E23" s="18">
        <f>SUM(E15:E22)</f>
        <v>-67353.246753246756</v>
      </c>
      <c r="F23" s="18">
        <f t="shared" ref="F23:L23" si="4">SUM(F15:F22)</f>
        <v>-63457.142857142855</v>
      </c>
      <c r="G23" s="18">
        <f t="shared" si="4"/>
        <v>-61379.220779220777</v>
      </c>
      <c r="H23" s="18">
        <f t="shared" si="4"/>
        <v>-62158.441558441555</v>
      </c>
      <c r="I23" s="18">
        <f t="shared" si="4"/>
        <v>-63058.441558441555</v>
      </c>
      <c r="J23" s="18">
        <f t="shared" si="4"/>
        <v>-62279.220779220777</v>
      </c>
      <c r="K23" s="18">
        <f t="shared" si="4"/>
        <v>-63058.441558441555</v>
      </c>
      <c r="L23" s="18">
        <f t="shared" si="4"/>
        <v>-63058.441558441555</v>
      </c>
      <c r="M23" s="18">
        <f t="shared" ref="M23:N23" si="5">SUM(M15:M22)</f>
        <v>-62279.220779220777</v>
      </c>
      <c r="N23" s="18">
        <f t="shared" si="5"/>
        <v>-62279.220779220777</v>
      </c>
    </row>
    <row r="24" spans="1:14" ht="30.75" thickBot="1">
      <c r="B24" s="34" t="s">
        <v>98</v>
      </c>
      <c r="C24" s="35"/>
      <c r="D24" s="35"/>
      <c r="E24" s="35">
        <f>E12+E23</f>
        <v>-45111.688311688318</v>
      </c>
      <c r="F24" s="35">
        <f t="shared" ref="F24:N24" si="6">F12+F23</f>
        <v>-41215.584415584417</v>
      </c>
      <c r="G24" s="35">
        <f t="shared" si="6"/>
        <v>-39137.662337662339</v>
      </c>
      <c r="H24" s="35">
        <f t="shared" si="6"/>
        <v>-39916.883116883117</v>
      </c>
      <c r="I24" s="35">
        <f t="shared" si="6"/>
        <v>-40816.883116883117</v>
      </c>
      <c r="J24" s="35">
        <f t="shared" si="6"/>
        <v>-40037.662337662339</v>
      </c>
      <c r="K24" s="35">
        <f t="shared" si="6"/>
        <v>-63058.441558441555</v>
      </c>
      <c r="L24" s="35">
        <f t="shared" si="6"/>
        <v>-63058.441558441555</v>
      </c>
      <c r="M24" s="35">
        <f t="shared" si="6"/>
        <v>-62279.220779220777</v>
      </c>
      <c r="N24" s="35">
        <f t="shared" si="6"/>
        <v>-62279.220779220777</v>
      </c>
    </row>
    <row r="25" spans="1:14">
      <c r="B25" s="29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>
      <c r="A26" s="36" t="s">
        <v>21</v>
      </c>
      <c r="B26" s="175" t="s">
        <v>21</v>
      </c>
      <c r="C26" s="17"/>
      <c r="D26" s="17"/>
      <c r="E26" s="32">
        <f>-SUMIFS(FlatDataset[Amount (ILS)],FlatDataset[Type 1],$B26,FlatDataset[Date],"&gt;="&amp;E$6,FlatDataset[Date],"&lt;="&amp;E$7)/USD</f>
        <v>-17854.545454545456</v>
      </c>
      <c r="F26" s="32">
        <f>-SUMIFS(FlatDataset[Amount (ILS)],FlatDataset[Type 1],$B26,FlatDataset[Date],"&gt;="&amp;F$6,FlatDataset[Date],"&lt;="&amp;F$7)/USD</f>
        <v>-23049.35064935065</v>
      </c>
      <c r="G26" s="32">
        <f>-SUMIFS(FlatDataset[Amount (ILS)],FlatDataset[Type 1],$B26,FlatDataset[Date],"&gt;="&amp;G$6,FlatDataset[Date],"&lt;="&amp;G$7)/USD</f>
        <v>-4867.5324675324673</v>
      </c>
      <c r="H26" s="32">
        <f>-SUMIFS(FlatDataset[Amount (ILS)],FlatDataset[Type 1],$B26,FlatDataset[Date],"&gt;="&amp;H$6,FlatDataset[Date],"&lt;="&amp;H$7)/USD</f>
        <v>-4867.5324675324673</v>
      </c>
      <c r="I26" s="32">
        <f>-SUMIFS(FlatDataset[Amount (ILS)],FlatDataset[Type 1],$B26,FlatDataset[Date],"&gt;="&amp;I$6,FlatDataset[Date],"&lt;="&amp;I$7)/USD</f>
        <v>-4867.5324675324673</v>
      </c>
      <c r="J26" s="32">
        <f>-SUMIFS(FlatDataset[Amount (ILS)],FlatDataset[Type 1],$B26,FlatDataset[Date],"&gt;="&amp;J$6,FlatDataset[Date],"&lt;="&amp;J$7)/USD</f>
        <v>0</v>
      </c>
      <c r="K26" s="32">
        <f>-SUMIFS(FlatDataset[Amount (ILS)],FlatDataset[Type 1],$B26,FlatDataset[Date],"&gt;="&amp;K$6,FlatDataset[Date],"&lt;="&amp;K$7)/USD</f>
        <v>0</v>
      </c>
      <c r="L26" s="32">
        <f>-SUMIFS(FlatDataset[Amount (ILS)],FlatDataset[Type 1],$B26,FlatDataset[Date],"&gt;="&amp;L$6,FlatDataset[Date],"&lt;="&amp;L$7)/USD</f>
        <v>0</v>
      </c>
      <c r="M26" s="32">
        <f>-SUMIFS(FlatDataset[Amount (ILS)],FlatDataset[Type 1],$B26,FlatDataset[Date],"&gt;="&amp;M$6,FlatDataset[Date],"&lt;="&amp;M$7)/USD</f>
        <v>0</v>
      </c>
      <c r="N26" s="32">
        <f>-SUMIFS(FlatDataset[Amount (ILS)],FlatDataset[Type 1],$B26,FlatDataset[Date],"&gt;="&amp;N$6,FlatDataset[Date],"&lt;="&amp;N$7)/USD</f>
        <v>0</v>
      </c>
    </row>
    <row r="27" spans="1:14">
      <c r="B27" s="37" t="s">
        <v>99</v>
      </c>
      <c r="C27" s="38"/>
      <c r="D27" s="38"/>
      <c r="E27" s="38">
        <f>E24+E26</f>
        <v>-62966.233766233774</v>
      </c>
      <c r="F27" s="38">
        <f t="shared" ref="F27:N27" si="7">F24+F26</f>
        <v>-64264.935064935067</v>
      </c>
      <c r="G27" s="38">
        <f t="shared" si="7"/>
        <v>-44005.194805194806</v>
      </c>
      <c r="H27" s="38">
        <f t="shared" si="7"/>
        <v>-44784.415584415583</v>
      </c>
      <c r="I27" s="38">
        <f t="shared" si="7"/>
        <v>-45684.415584415583</v>
      </c>
      <c r="J27" s="38">
        <f t="shared" si="7"/>
        <v>-40037.662337662339</v>
      </c>
      <c r="K27" s="38">
        <f t="shared" si="7"/>
        <v>-63058.441558441555</v>
      </c>
      <c r="L27" s="38">
        <f t="shared" si="7"/>
        <v>-63058.441558441555</v>
      </c>
      <c r="M27" s="38">
        <f t="shared" si="7"/>
        <v>-62279.220779220777</v>
      </c>
      <c r="N27" s="38">
        <f t="shared" si="7"/>
        <v>-62279.220779220777</v>
      </c>
    </row>
    <row r="28" spans="1:14">
      <c r="B28" s="3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>
      <c r="B29" s="39" t="s">
        <v>92</v>
      </c>
      <c r="C29" s="30"/>
      <c r="D29" s="30"/>
      <c r="E29" s="30">
        <f t="shared" ref="E29:J29" si="8">E53/USD</f>
        <v>12987.012987012986</v>
      </c>
      <c r="F29" s="30">
        <f t="shared" si="8"/>
        <v>5194.8051948051943</v>
      </c>
      <c r="G29" s="30">
        <f t="shared" si="8"/>
        <v>2597.4025974025972</v>
      </c>
      <c r="H29" s="30">
        <f t="shared" si="8"/>
        <v>0</v>
      </c>
      <c r="I29" s="30">
        <f t="shared" si="8"/>
        <v>0</v>
      </c>
      <c r="J29" s="30">
        <f t="shared" si="8"/>
        <v>0</v>
      </c>
      <c r="K29" s="30"/>
      <c r="L29" s="30"/>
      <c r="M29" s="30"/>
      <c r="N29" s="30"/>
    </row>
    <row r="30" spans="1:14" ht="15.75" thickBot="1">
      <c r="B30" s="40" t="s">
        <v>107</v>
      </c>
      <c r="C30" s="35"/>
      <c r="D30" s="35"/>
      <c r="E30" s="35">
        <f t="shared" ref="E30:H30" si="9">E27+E29</f>
        <v>-49979.220779220792</v>
      </c>
      <c r="F30" s="35">
        <f t="shared" si="9"/>
        <v>-59070.129870129873</v>
      </c>
      <c r="G30" s="35">
        <f t="shared" si="9"/>
        <v>-41407.792207792212</v>
      </c>
      <c r="H30" s="35">
        <f t="shared" si="9"/>
        <v>-44784.415584415583</v>
      </c>
      <c r="I30" s="35">
        <f t="shared" ref="I30:K30" si="10">I27+I29</f>
        <v>-45684.415584415583</v>
      </c>
      <c r="J30" s="35">
        <f t="shared" si="10"/>
        <v>-40037.662337662339</v>
      </c>
      <c r="K30" s="35">
        <f t="shared" si="10"/>
        <v>-63058.441558441555</v>
      </c>
      <c r="L30" s="35">
        <f t="shared" ref="L30:M30" si="11">L27+L29</f>
        <v>-63058.441558441555</v>
      </c>
      <c r="M30" s="35">
        <f t="shared" si="11"/>
        <v>-62279.220779220777</v>
      </c>
      <c r="N30" s="35">
        <f t="shared" ref="N30" si="12">N27+N29</f>
        <v>-62279.220779220777</v>
      </c>
    </row>
    <row r="31" spans="1:14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>
      <c r="B32" s="29" t="s">
        <v>100</v>
      </c>
      <c r="C32" s="17"/>
      <c r="D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2:14" ht="15.75" thickBot="1">
      <c r="B33" s="34" t="s">
        <v>101</v>
      </c>
      <c r="C33" s="35"/>
      <c r="D33" s="35">
        <f>D55/USD</f>
        <v>24155.844155844155</v>
      </c>
      <c r="E33" s="35">
        <f>D33+E30</f>
        <v>-25823.376623376636</v>
      </c>
      <c r="F33" s="35">
        <f t="shared" ref="F33" si="13">E33+F30</f>
        <v>-84893.506493506517</v>
      </c>
      <c r="G33" s="35">
        <f t="shared" ref="G33" si="14">F33+G30</f>
        <v>-126301.29870129873</v>
      </c>
      <c r="H33" s="35">
        <f t="shared" ref="H33" si="15">G33+H30</f>
        <v>-171085.71428571432</v>
      </c>
      <c r="I33" s="35">
        <f t="shared" ref="I33" si="16">H33+I30</f>
        <v>-216770.12987012989</v>
      </c>
      <c r="J33" s="35">
        <f t="shared" ref="J33:K33" si="17">I33+J30</f>
        <v>-256807.79220779223</v>
      </c>
      <c r="K33" s="35">
        <f t="shared" si="17"/>
        <v>-319866.23376623378</v>
      </c>
      <c r="L33" s="35">
        <f t="shared" ref="L33" si="18">K33+L30</f>
        <v>-382924.67532467534</v>
      </c>
      <c r="M33" s="35">
        <f t="shared" ref="M33:N33" si="19">L33+M30</f>
        <v>-445203.89610389608</v>
      </c>
      <c r="N33" s="35">
        <f t="shared" si="19"/>
        <v>-507483.11688311689</v>
      </c>
    </row>
    <row r="34" spans="2:14">
      <c r="B34" s="26"/>
      <c r="C34" s="18"/>
      <c r="D34" s="19"/>
      <c r="F34" s="17"/>
      <c r="G34" s="17"/>
      <c r="H34" s="17"/>
      <c r="I34" s="17"/>
      <c r="M34" s="43"/>
    </row>
    <row r="36" spans="2:14" ht="18.75">
      <c r="B36" s="16" t="s">
        <v>146</v>
      </c>
    </row>
    <row r="37" spans="2:14">
      <c r="H37" s="44"/>
      <c r="I37" s="44"/>
    </row>
    <row r="38" spans="2:14">
      <c r="B38" s="45"/>
      <c r="C38" s="46" t="s">
        <v>18</v>
      </c>
      <c r="D38" s="46" t="s">
        <v>7</v>
      </c>
      <c r="E38" s="46" t="s">
        <v>8</v>
      </c>
      <c r="F38" s="46" t="s">
        <v>9</v>
      </c>
      <c r="G38" s="46" t="s">
        <v>10</v>
      </c>
      <c r="H38" s="46" t="s">
        <v>11</v>
      </c>
      <c r="I38" s="46" t="s">
        <v>12</v>
      </c>
    </row>
    <row r="39" spans="2:14">
      <c r="B39" s="26" t="s">
        <v>93</v>
      </c>
      <c r="C39" s="18"/>
      <c r="D39" s="18"/>
      <c r="E39" s="18"/>
      <c r="F39" s="18">
        <f>E42</f>
        <v>100000</v>
      </c>
      <c r="G39" s="18">
        <f t="shared" ref="G39:I39" si="20">F42</f>
        <v>104025.97402597402</v>
      </c>
      <c r="H39" s="18">
        <f t="shared" si="20"/>
        <v>108051.94805194804</v>
      </c>
      <c r="I39" s="18">
        <f t="shared" si="20"/>
        <v>112077.92207792206</v>
      </c>
    </row>
    <row r="40" spans="2:14">
      <c r="B40" s="14" t="s">
        <v>109</v>
      </c>
      <c r="C40" s="47"/>
      <c r="D40" s="146"/>
      <c r="E40" s="146"/>
      <c r="F40" s="139">
        <v>30000</v>
      </c>
      <c r="G40" s="139">
        <v>30000</v>
      </c>
      <c r="H40" s="139">
        <v>30000</v>
      </c>
      <c r="I40" s="139">
        <v>30000</v>
      </c>
    </row>
    <row r="41" spans="2:14">
      <c r="B41" s="48" t="s">
        <v>105</v>
      </c>
      <c r="C41" s="30"/>
      <c r="D41" s="30"/>
      <c r="E41" s="30"/>
      <c r="F41" s="30">
        <f>-E10</f>
        <v>-25974.025974025972</v>
      </c>
      <c r="G41" s="30">
        <f>-F10</f>
        <v>-25974.025974025972</v>
      </c>
      <c r="H41" s="30">
        <f>-G10</f>
        <v>-25974.025974025972</v>
      </c>
      <c r="I41" s="30">
        <f>-H10</f>
        <v>-25974.025974025972</v>
      </c>
    </row>
    <row r="42" spans="2:14" ht="15.75" thickBot="1">
      <c r="B42" s="49" t="s">
        <v>94</v>
      </c>
      <c r="C42" s="50"/>
      <c r="D42" s="50"/>
      <c r="E42" s="50">
        <v>100000</v>
      </c>
      <c r="F42" s="50">
        <f>SUM(F39:F41)</f>
        <v>104025.97402597402</v>
      </c>
      <c r="G42" s="50">
        <f>SUM(G39:G41)</f>
        <v>108051.94805194804</v>
      </c>
      <c r="H42" s="50">
        <f>SUM(H39:H41)</f>
        <v>112077.92207792206</v>
      </c>
      <c r="I42" s="50">
        <f>SUM(I39:I41)</f>
        <v>116103.89610389608</v>
      </c>
    </row>
    <row r="43" spans="2:14">
      <c r="D43" s="51"/>
      <c r="E43" s="51"/>
    </row>
    <row r="46" spans="2:14" ht="15.75" thickBot="1">
      <c r="B46" s="41"/>
      <c r="C46" s="53"/>
      <c r="D46" s="53"/>
      <c r="E46" s="53"/>
    </row>
    <row r="47" spans="2:14">
      <c r="B47" s="54" t="s">
        <v>24</v>
      </c>
      <c r="C47" s="56">
        <f>'All Periods'!C3</f>
        <v>42064</v>
      </c>
      <c r="D47" s="169"/>
      <c r="E47" s="56">
        <f>E6</f>
        <v>42064</v>
      </c>
      <c r="F47" s="56">
        <f t="shared" ref="F47:J48" si="21">F6</f>
        <v>42095</v>
      </c>
      <c r="G47" s="56">
        <f t="shared" si="21"/>
        <v>42125</v>
      </c>
      <c r="H47" s="56">
        <f t="shared" si="21"/>
        <v>42156</v>
      </c>
      <c r="I47" s="56">
        <f t="shared" si="21"/>
        <v>42186</v>
      </c>
      <c r="J47" s="55">
        <f t="shared" si="21"/>
        <v>42217</v>
      </c>
    </row>
    <row r="48" spans="2:14">
      <c r="B48" s="57" t="s">
        <v>25</v>
      </c>
      <c r="C48" s="58">
        <f>'All Periods'!C4</f>
        <v>42247</v>
      </c>
      <c r="D48" s="170"/>
      <c r="E48" s="168">
        <f>E7</f>
        <v>42094</v>
      </c>
      <c r="F48" s="168">
        <f t="shared" si="21"/>
        <v>42124</v>
      </c>
      <c r="G48" s="168">
        <f t="shared" si="21"/>
        <v>42155</v>
      </c>
      <c r="H48" s="168">
        <f t="shared" si="21"/>
        <v>42185</v>
      </c>
      <c r="I48" s="168">
        <f t="shared" si="21"/>
        <v>42216</v>
      </c>
      <c r="J48" s="171">
        <f t="shared" si="21"/>
        <v>42247</v>
      </c>
    </row>
    <row r="49" spans="2:14">
      <c r="B49" s="59"/>
      <c r="C49" s="15"/>
      <c r="D49" s="59"/>
      <c r="E49" s="15"/>
      <c r="F49" s="15"/>
      <c r="G49" s="15"/>
      <c r="H49" s="15"/>
      <c r="I49" s="15"/>
      <c r="J49" s="60"/>
    </row>
    <row r="50" spans="2:14">
      <c r="B50" s="144" t="s">
        <v>142</v>
      </c>
      <c r="C50" s="62">
        <f>'All Periods'!C46+'All Periods'!C47</f>
        <v>600000</v>
      </c>
      <c r="D50" s="172"/>
      <c r="E50" s="62">
        <f>Forecast2!C45</f>
        <v>100000</v>
      </c>
      <c r="F50" s="62">
        <f>Forecast3!C45</f>
        <v>100000</v>
      </c>
      <c r="G50" s="62">
        <f>Forecast4!C45</f>
        <v>100000</v>
      </c>
      <c r="H50" s="62">
        <f>Forecast5!$C45</f>
        <v>100000</v>
      </c>
      <c r="I50" s="62">
        <f>Forecast6!$C45</f>
        <v>100000</v>
      </c>
      <c r="J50" s="61">
        <f>Forecast7!$C45</f>
        <v>100000</v>
      </c>
      <c r="K50" s="63" t="b">
        <f>SUM(E50:J50)=C50</f>
        <v>1</v>
      </c>
    </row>
    <row r="51" spans="2:14">
      <c r="B51" s="144" t="s">
        <v>143</v>
      </c>
      <c r="C51" s="66">
        <f>SUM(C50:C50)/USD</f>
        <v>155844.15584415584</v>
      </c>
      <c r="D51" s="172"/>
      <c r="E51" s="66">
        <f t="shared" ref="E51:J51" si="22">SUM(E50:E50)/USD</f>
        <v>25974.025974025972</v>
      </c>
      <c r="F51" s="66">
        <f t="shared" si="22"/>
        <v>25974.025974025972</v>
      </c>
      <c r="G51" s="66">
        <f t="shared" si="22"/>
        <v>25974.025974025972</v>
      </c>
      <c r="H51" s="66">
        <f t="shared" si="22"/>
        <v>25974.025974025972</v>
      </c>
      <c r="I51" s="66">
        <f t="shared" si="22"/>
        <v>25974.025974025972</v>
      </c>
      <c r="J51" s="65">
        <f t="shared" si="22"/>
        <v>25974.025974025972</v>
      </c>
      <c r="K51" s="63" t="b">
        <f>ROUND(SUM(E51:J51),0)=ROUND(C51,0)</f>
        <v>1</v>
      </c>
    </row>
    <row r="52" spans="2:14">
      <c r="B52" s="59"/>
      <c r="C52" s="30"/>
      <c r="D52" s="173"/>
      <c r="E52" s="30"/>
      <c r="F52" s="30"/>
      <c r="G52" s="30"/>
      <c r="H52" s="30"/>
      <c r="I52" s="30"/>
      <c r="J52" s="67"/>
      <c r="K52" s="64"/>
    </row>
    <row r="53" spans="2:14">
      <c r="B53" s="59" t="s">
        <v>90</v>
      </c>
      <c r="C53" s="62">
        <f>SUM('All Periods'!C18:C23)</f>
        <v>80000</v>
      </c>
      <c r="D53" s="173"/>
      <c r="E53" s="62">
        <f>'All Periods'!C18</f>
        <v>50000</v>
      </c>
      <c r="F53" s="62">
        <f>'All Periods'!C19</f>
        <v>20000</v>
      </c>
      <c r="G53" s="62">
        <f>'All Periods'!C20</f>
        <v>10000</v>
      </c>
      <c r="H53" s="62">
        <f>'All Periods'!$C21</f>
        <v>0</v>
      </c>
      <c r="I53" s="62">
        <f>'All Periods'!$C22</f>
        <v>0</v>
      </c>
      <c r="J53" s="61">
        <f>'All Periods'!$C23</f>
        <v>0</v>
      </c>
      <c r="K53" s="63" t="b">
        <f>SUM(E53:J53)=C53</f>
        <v>1</v>
      </c>
    </row>
    <row r="54" spans="2:14">
      <c r="B54" s="59"/>
      <c r="C54" s="167"/>
      <c r="D54" s="59"/>
      <c r="E54" s="15"/>
      <c r="F54" s="15"/>
      <c r="G54" s="15"/>
      <c r="H54" s="15"/>
      <c r="I54" s="15"/>
      <c r="J54" s="60"/>
      <c r="K54" s="64"/>
    </row>
    <row r="55" spans="2:14" ht="15.75" thickBot="1">
      <c r="B55" s="69" t="s">
        <v>91</v>
      </c>
      <c r="C55" s="71">
        <f>'All Periods'!C143</f>
        <v>-988710</v>
      </c>
      <c r="D55" s="174">
        <f>SUM('All Periods'!C12:C15,'All Periods'!C32)</f>
        <v>93000</v>
      </c>
      <c r="E55" s="71">
        <f>Forecast2!C139</f>
        <v>-99420</v>
      </c>
      <c r="F55" s="71">
        <f>Forecast3!C139</f>
        <v>-326840</v>
      </c>
      <c r="G55" s="71">
        <f>Forecast4!C139</f>
        <v>-486260</v>
      </c>
      <c r="H55" s="71">
        <f>Forecast5!$C139</f>
        <v>-658680</v>
      </c>
      <c r="I55" s="71">
        <f>Forecast6!$C139</f>
        <v>-834565</v>
      </c>
      <c r="J55" s="70">
        <f>Forecast7!$C139</f>
        <v>-988710</v>
      </c>
      <c r="K55" s="63" t="b">
        <f>ROUND(J55,0)=ROUND(C55,0)</f>
        <v>1</v>
      </c>
      <c r="L55" s="68"/>
      <c r="M55" s="72"/>
    </row>
    <row r="56" spans="2:14">
      <c r="I56" s="47"/>
      <c r="J56" s="47"/>
      <c r="K56" s="47"/>
    </row>
    <row r="57" spans="2:14">
      <c r="D57" s="14" t="s">
        <v>86</v>
      </c>
      <c r="E57" s="17">
        <f>-(E53-E55)/USD</f>
        <v>-38810.389610389611</v>
      </c>
      <c r="F57" s="17">
        <f t="shared" ref="F57:J57" si="23">-(F53-F55)/USD</f>
        <v>-90088.311688311689</v>
      </c>
      <c r="G57" s="17">
        <f t="shared" si="23"/>
        <v>-128898.7012987013</v>
      </c>
      <c r="H57" s="17">
        <f t="shared" si="23"/>
        <v>-171085.71428571429</v>
      </c>
      <c r="I57" s="17">
        <f t="shared" si="23"/>
        <v>-216770.12987012987</v>
      </c>
      <c r="J57" s="17">
        <f t="shared" si="23"/>
        <v>-256807.7922077922</v>
      </c>
    </row>
    <row r="58" spans="2:14">
      <c r="D58" s="14" t="s">
        <v>108</v>
      </c>
      <c r="E58" s="47">
        <f>E33-E29</f>
        <v>-38810.389610389626</v>
      </c>
      <c r="F58" s="47">
        <f t="shared" ref="F58:J58" si="24">F33-F29</f>
        <v>-90088.311688311718</v>
      </c>
      <c r="G58" s="47">
        <f t="shared" si="24"/>
        <v>-128898.70129870133</v>
      </c>
      <c r="H58" s="47">
        <f t="shared" si="24"/>
        <v>-171085.71428571432</v>
      </c>
      <c r="I58" s="47">
        <f t="shared" si="24"/>
        <v>-216770.12987012989</v>
      </c>
      <c r="J58" s="47">
        <f t="shared" si="24"/>
        <v>-256807.79220779223</v>
      </c>
    </row>
    <row r="59" spans="2:14">
      <c r="D59" s="137" t="s">
        <v>144</v>
      </c>
      <c r="E59" s="47">
        <f>E58-E57</f>
        <v>0</v>
      </c>
      <c r="F59" s="47">
        <f t="shared" ref="F59:J59" si="25">F58-F57</f>
        <v>0</v>
      </c>
      <c r="G59" s="47">
        <f t="shared" si="25"/>
        <v>0</v>
      </c>
      <c r="H59" s="47">
        <f t="shared" si="25"/>
        <v>0</v>
      </c>
      <c r="I59" s="47">
        <f t="shared" si="25"/>
        <v>0</v>
      </c>
      <c r="J59" s="47">
        <f t="shared" si="25"/>
        <v>0</v>
      </c>
    </row>
    <row r="60" spans="2:14">
      <c r="D60" s="19"/>
      <c r="E60" s="73"/>
      <c r="F60" s="47"/>
      <c r="G60" s="47"/>
      <c r="H60" s="47"/>
      <c r="I60" s="47"/>
      <c r="J60" s="47"/>
      <c r="K60" s="47"/>
      <c r="M60" s="74"/>
      <c r="N60" s="47"/>
    </row>
    <row r="61" spans="2:14">
      <c r="F61" s="19"/>
    </row>
    <row r="62" spans="2:14">
      <c r="F62" s="19"/>
    </row>
  </sheetData>
  <conditionalFormatting sqref="C55">
    <cfRule type="cellIs" dxfId="89" priority="3" operator="lessThan">
      <formula>0</formula>
    </cfRule>
    <cfRule type="cellIs" dxfId="88" priority="4" operator="greaterThan">
      <formula>0</formula>
    </cfRule>
  </conditionalFormatting>
  <conditionalFormatting sqref="D55:J55">
    <cfRule type="cellIs" dxfId="87" priority="1" operator="lessThan">
      <formula>0</formula>
    </cfRule>
    <cfRule type="cellIs" dxfId="86" priority="2" operator="greaterThan">
      <formula>0</formula>
    </cfRule>
  </conditionalFormatting>
  <pageMargins left="0.7" right="0.7" top="0.75" bottom="0.75" header="0.3" footer="0.3"/>
  <pageSetup orientation="portrait" verticalDpi="0" r:id="rId1"/>
  <ignoredErrors>
    <ignoredError sqref="K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N265"/>
  <sheetViews>
    <sheetView showGridLines="0" rightToLeft="1" topLeftCell="A12" zoomScale="90" zoomScaleNormal="90" workbookViewId="0">
      <selection activeCell="C24" sqref="C24"/>
    </sheetView>
  </sheetViews>
  <sheetFormatPr defaultColWidth="9" defaultRowHeight="15"/>
  <cols>
    <col min="1" max="1" width="5.85546875" style="14" customWidth="1"/>
    <col min="2" max="2" width="28.42578125" style="14" customWidth="1"/>
    <col min="3" max="3" width="13.7109375" style="14" customWidth="1"/>
    <col min="4" max="4" width="6.28515625" style="82" customWidth="1"/>
    <col min="5" max="5" width="36.42578125" style="14" customWidth="1"/>
    <col min="6" max="6" width="13" style="29" customWidth="1"/>
    <col min="7" max="7" width="4.7109375" style="91" customWidth="1"/>
    <col min="8" max="8" width="3.28515625" style="14" customWidth="1"/>
    <col min="9" max="9" width="13.7109375" style="82" customWidth="1"/>
    <col min="10" max="10" width="13.7109375" style="92" customWidth="1"/>
    <col min="11" max="13" width="13.7109375" style="82" customWidth="1"/>
    <col min="14" max="16" width="13.7109375" style="14" customWidth="1"/>
    <col min="17" max="16384" width="9" style="14"/>
  </cols>
  <sheetData>
    <row r="3" spans="1:14">
      <c r="B3" s="14" t="s">
        <v>24</v>
      </c>
      <c r="C3" s="93">
        <v>42064</v>
      </c>
    </row>
    <row r="4" spans="1:14">
      <c r="B4" s="14" t="s">
        <v>25</v>
      </c>
      <c r="C4" s="93">
        <v>42247</v>
      </c>
    </row>
    <row r="5" spans="1:14">
      <c r="I5" s="95"/>
      <c r="K5" s="95"/>
      <c r="L5" s="95"/>
      <c r="M5" s="95"/>
      <c r="N5" s="24"/>
    </row>
    <row r="8" spans="1:14" ht="15" customHeight="1">
      <c r="C8" s="96"/>
      <c r="F8" s="96"/>
      <c r="H8" s="91"/>
    </row>
    <row r="9" spans="1:14" ht="15" customHeight="1">
      <c r="B9" s="97" t="s">
        <v>35</v>
      </c>
      <c r="C9" s="98"/>
      <c r="D9" s="84"/>
      <c r="E9" s="99" t="s">
        <v>19</v>
      </c>
      <c r="F9" s="100"/>
      <c r="G9" s="101"/>
      <c r="H9" s="101"/>
    </row>
    <row r="10" spans="1:14">
      <c r="B10" s="102"/>
      <c r="C10" s="103"/>
      <c r="D10" s="83"/>
      <c r="E10" s="102"/>
      <c r="F10" s="103"/>
      <c r="G10" s="104"/>
      <c r="H10" s="104"/>
    </row>
    <row r="11" spans="1:14" ht="15" customHeight="1">
      <c r="A11" s="24"/>
      <c r="B11" s="46" t="s">
        <v>5</v>
      </c>
      <c r="C11" s="105"/>
      <c r="D11" s="83"/>
      <c r="E11" s="106" t="s">
        <v>63</v>
      </c>
      <c r="F11" s="107"/>
      <c r="G11" s="104"/>
      <c r="H11" s="104"/>
    </row>
    <row r="12" spans="1:14" ht="15" customHeight="1">
      <c r="B12" s="14" t="s">
        <v>36</v>
      </c>
      <c r="C12" s="109">
        <v>100000</v>
      </c>
      <c r="E12" s="147" t="s">
        <v>52</v>
      </c>
      <c r="F12" s="96">
        <f>SUMIFS(FlatDataset[Amount (ILS)],FlatDataset[Payment method],E12,FlatDataset[Date],"&gt;="&amp;C$3,FlatDataset[Date],"&lt;="&amp;$C$4)</f>
        <v>54000</v>
      </c>
      <c r="H12" s="91"/>
    </row>
    <row r="13" spans="1:14" ht="15" customHeight="1">
      <c r="B13" s="15" t="s">
        <v>38</v>
      </c>
      <c r="C13" s="109">
        <f>-50000</f>
        <v>-50000</v>
      </c>
      <c r="E13" s="147" t="s">
        <v>34</v>
      </c>
      <c r="F13" s="96">
        <f>SUMIFS(FlatDataset[Amount (ILS)],FlatDataset[Payment method],E13,FlatDataset[Date],"&gt;="&amp;C$3,FlatDataset[Date],"&lt;="&amp;$C$4)</f>
        <v>27000</v>
      </c>
      <c r="H13" s="91"/>
    </row>
    <row r="14" spans="1:14" ht="15" customHeight="1">
      <c r="B14" s="76"/>
      <c r="C14" s="103"/>
      <c r="E14" s="110"/>
      <c r="F14" s="96"/>
      <c r="H14" s="91"/>
    </row>
    <row r="15" spans="1:14" ht="15" customHeight="1">
      <c r="B15" s="76" t="s">
        <v>73</v>
      </c>
      <c r="C15" s="109">
        <v>-5000</v>
      </c>
      <c r="E15" s="79"/>
      <c r="F15" s="96"/>
      <c r="H15" s="91"/>
    </row>
    <row r="16" spans="1:14" ht="15" customHeight="1">
      <c r="B16" s="76"/>
      <c r="C16" s="108"/>
      <c r="E16" s="79"/>
      <c r="F16" s="96"/>
      <c r="H16" s="91"/>
    </row>
    <row r="17" spans="2:13" ht="15" customHeight="1">
      <c r="E17" s="79"/>
      <c r="F17" s="96"/>
      <c r="H17" s="91"/>
    </row>
    <row r="18" spans="2:13" s="102" customFormat="1" ht="15" customHeight="1">
      <c r="B18" s="76" t="s">
        <v>80</v>
      </c>
      <c r="C18" s="109">
        <v>50000</v>
      </c>
      <c r="D18" s="83"/>
      <c r="E18" s="83"/>
      <c r="F18" s="29"/>
      <c r="G18" s="104"/>
      <c r="H18" s="104"/>
      <c r="I18" s="83"/>
      <c r="J18" s="94"/>
      <c r="K18" s="83"/>
      <c r="L18" s="83"/>
      <c r="M18" s="83"/>
    </row>
    <row r="19" spans="2:13" s="102" customFormat="1" ht="15" customHeight="1">
      <c r="B19" s="102" t="s">
        <v>81</v>
      </c>
      <c r="C19" s="109">
        <v>20000</v>
      </c>
      <c r="D19" s="83"/>
      <c r="E19" s="82"/>
      <c r="F19" s="96"/>
      <c r="G19" s="104"/>
      <c r="H19" s="104"/>
      <c r="I19" s="83"/>
      <c r="J19" s="94"/>
      <c r="K19" s="83"/>
      <c r="L19" s="83"/>
      <c r="M19" s="83"/>
    </row>
    <row r="20" spans="2:13" ht="15" customHeight="1">
      <c r="B20" s="76" t="s">
        <v>82</v>
      </c>
      <c r="C20" s="109">
        <v>10000</v>
      </c>
      <c r="E20" s="82"/>
      <c r="F20" s="96"/>
      <c r="H20" s="91"/>
    </row>
    <row r="21" spans="2:13" ht="15" customHeight="1">
      <c r="B21" s="102" t="s">
        <v>83</v>
      </c>
      <c r="C21" s="109"/>
      <c r="E21" s="83"/>
      <c r="F21" s="111"/>
      <c r="H21" s="91"/>
    </row>
    <row r="22" spans="2:13" ht="15" customHeight="1">
      <c r="B22" s="102" t="s">
        <v>85</v>
      </c>
      <c r="C22" s="109"/>
      <c r="E22" s="83"/>
      <c r="H22" s="91"/>
    </row>
    <row r="23" spans="2:13" ht="15" customHeight="1">
      <c r="B23" s="102" t="s">
        <v>87</v>
      </c>
      <c r="C23" s="109"/>
      <c r="E23" s="83"/>
      <c r="H23" s="91"/>
    </row>
    <row r="24" spans="2:13" ht="15.75" customHeight="1" thickBot="1">
      <c r="B24" s="112" t="s">
        <v>41</v>
      </c>
      <c r="C24" s="113">
        <f>SUM(C12:C23)-SUMIFS(C12:C23,D12:D23,"x")</f>
        <v>125000</v>
      </c>
      <c r="E24" s="112" t="s">
        <v>65</v>
      </c>
      <c r="F24" s="113">
        <f>SUM(F12:F22)-SUMIFS(F12:F22,G12:G22,"x")</f>
        <v>81000</v>
      </c>
      <c r="H24" s="91"/>
    </row>
    <row r="25" spans="2:13" ht="15" customHeight="1">
      <c r="H25" s="91"/>
    </row>
    <row r="26" spans="2:13">
      <c r="B26" s="106" t="s">
        <v>32</v>
      </c>
      <c r="C26" s="107"/>
      <c r="E26" s="106" t="s">
        <v>64</v>
      </c>
      <c r="F26" s="107"/>
      <c r="H26" s="91"/>
    </row>
    <row r="27" spans="2:13" ht="15" customHeight="1">
      <c r="B27" s="14" t="s">
        <v>36</v>
      </c>
      <c r="C27" s="109">
        <v>100000</v>
      </c>
      <c r="E27" s="147" t="s">
        <v>53</v>
      </c>
      <c r="F27" s="96">
        <f>SUMIFS(FlatDataset[Amount (ILS)],FlatDataset[Payment method],E27,FlatDataset[Date],"&gt;="&amp;C$3,FlatDataset[Date],"&lt;="&amp;$C$4)</f>
        <v>36000</v>
      </c>
      <c r="H27" s="91"/>
    </row>
    <row r="28" spans="2:13" ht="15" customHeight="1">
      <c r="B28" s="15" t="s">
        <v>38</v>
      </c>
      <c r="C28" s="114">
        <v>-50000</v>
      </c>
      <c r="E28" s="147" t="s">
        <v>51</v>
      </c>
      <c r="F28" s="96">
        <f>SUMIFS(FlatDataset[Amount (ILS)],FlatDataset[Payment method],E28,FlatDataset[Date],"&gt;="&amp;C$3,FlatDataset[Date],"&lt;="&amp;$C$4)</f>
        <v>16000</v>
      </c>
      <c r="H28" s="91"/>
    </row>
    <row r="29" spans="2:13" ht="15" customHeight="1">
      <c r="B29" s="76" t="s">
        <v>73</v>
      </c>
      <c r="C29" s="109">
        <v>-2000</v>
      </c>
      <c r="E29" s="147" t="s">
        <v>54</v>
      </c>
      <c r="F29" s="96">
        <f>SUMIFS(FlatDataset[Amount (ILS)],FlatDataset[Payment method],E29,FlatDataset[Date],"&gt;="&amp;C$3,FlatDataset[Date],"&lt;="&amp;$C$4)</f>
        <v>2000</v>
      </c>
      <c r="H29" s="91"/>
    </row>
    <row r="30" spans="2:13" ht="15" customHeight="1">
      <c r="B30" s="76"/>
      <c r="C30" s="103"/>
      <c r="E30" s="79"/>
      <c r="F30" s="96"/>
      <c r="H30" s="91"/>
    </row>
    <row r="31" spans="2:13" ht="15" customHeight="1">
      <c r="C31" s="103"/>
      <c r="E31" s="79"/>
      <c r="F31" s="96"/>
      <c r="H31" s="91"/>
    </row>
    <row r="32" spans="2:13" ht="15.75" customHeight="1" thickBot="1">
      <c r="B32" s="112" t="s">
        <v>39</v>
      </c>
      <c r="C32" s="113">
        <f>SUM(C27:C31)</f>
        <v>48000</v>
      </c>
      <c r="E32" s="112" t="s">
        <v>65</v>
      </c>
      <c r="F32" s="113">
        <f>SUM(F27:F31)-SUMIFS(F27:F31,G27:G31,"x")</f>
        <v>54000</v>
      </c>
      <c r="H32" s="91"/>
    </row>
    <row r="33" spans="2:8" ht="15" customHeight="1">
      <c r="H33" s="91"/>
    </row>
    <row r="34" spans="2:8" ht="15.75" thickBot="1">
      <c r="B34" s="115" t="s">
        <v>66</v>
      </c>
      <c r="C34" s="116">
        <f>SUM(C32,C24)-SUM(F32,F24)</f>
        <v>38000</v>
      </c>
      <c r="H34" s="91"/>
    </row>
    <row r="35" spans="2:8" ht="15.75" customHeight="1" thickTop="1">
      <c r="H35" s="91"/>
    </row>
    <row r="36" spans="2:8">
      <c r="H36" s="91"/>
    </row>
    <row r="37" spans="2:8" ht="15" customHeight="1">
      <c r="B37" s="145"/>
      <c r="C37" s="62"/>
      <c r="H37" s="91"/>
    </row>
    <row r="38" spans="2:8">
      <c r="B38" s="76"/>
      <c r="C38" s="62"/>
      <c r="E38" s="117" t="s">
        <v>37</v>
      </c>
      <c r="F38" s="96"/>
      <c r="H38" s="91"/>
    </row>
    <row r="39" spans="2:8" ht="15" customHeight="1">
      <c r="B39" s="76"/>
      <c r="C39" s="62"/>
      <c r="E39" s="147" t="s">
        <v>68</v>
      </c>
      <c r="F39" s="96">
        <f>SUMIFS(FlatDataset[Amount (ILS)],FlatDataset[Name],E39,FlatDataset[Date],"&gt;="&amp;C$3,FlatDataset[Date],"&lt;="&amp;C$4)</f>
        <v>600000</v>
      </c>
      <c r="G39" s="119"/>
      <c r="H39" s="104"/>
    </row>
    <row r="40" spans="2:8" ht="15.75" customHeight="1">
      <c r="B40" s="5"/>
      <c r="C40" s="133"/>
      <c r="E40" s="118" t="s">
        <v>22</v>
      </c>
      <c r="F40" s="96">
        <f>SUMIFS(FlatDataset[Amount (ILS)],FlatDataset[Name],E40,FlatDataset[Date],"&gt;="&amp;C$3,FlatDataset[Date],"&lt;="&amp;C$4)</f>
        <v>120000</v>
      </c>
      <c r="G40" s="119"/>
      <c r="H40" s="104"/>
    </row>
    <row r="41" spans="2:8" ht="15" customHeight="1">
      <c r="E41" s="118" t="s">
        <v>31</v>
      </c>
      <c r="F41" s="96">
        <f>SUMIFS(FlatDataset[Amount (ILS)],FlatDataset[Name],E41,FlatDataset[Date],"&gt;="&amp;C$3,FlatDataset[Date],"&lt;="&amp;C$4)</f>
        <v>120000</v>
      </c>
      <c r="G41" s="119"/>
      <c r="H41" s="104"/>
    </row>
    <row r="42" spans="2:8">
      <c r="B42" s="15"/>
      <c r="C42" s="96"/>
      <c r="E42" s="118" t="s">
        <v>56</v>
      </c>
      <c r="F42" s="96">
        <f>SUMIFS(FlatDataset[Amount (ILS)],FlatDataset[Name],E42,FlatDataset[Date],"&gt;="&amp;C$3,FlatDataset[Date],"&lt;="&amp;C$4)</f>
        <v>180000</v>
      </c>
      <c r="G42" s="119"/>
      <c r="H42" s="104"/>
    </row>
    <row r="43" spans="2:8" ht="15.75" customHeight="1" thickBot="1">
      <c r="B43" s="120" t="s">
        <v>61</v>
      </c>
      <c r="C43" s="121">
        <f>SUM(C32,C24)</f>
        <v>173000</v>
      </c>
      <c r="E43" s="118" t="s">
        <v>96</v>
      </c>
      <c r="F43" s="96">
        <f>SUMIFS(FlatDataset[Amount (ILS)],FlatDataset[Name],E43,FlatDataset[Date],"&gt;="&amp;C$3,FlatDataset[Date],"&lt;="&amp;C$4)</f>
        <v>60000</v>
      </c>
      <c r="G43" s="119"/>
      <c r="H43" s="104"/>
    </row>
    <row r="44" spans="2:8">
      <c r="B44" s="122"/>
      <c r="E44" s="118" t="s">
        <v>29</v>
      </c>
      <c r="F44" s="96">
        <f>SUMIFS(FlatDataset[Amount (ILS)],FlatDataset[Name],E44,FlatDataset[Date],"&gt;="&amp;C$3,FlatDataset[Date],"&lt;="&amp;C$4)</f>
        <v>131100</v>
      </c>
      <c r="G44" s="119"/>
      <c r="H44" s="104"/>
    </row>
    <row r="45" spans="2:8">
      <c r="E45" s="118"/>
      <c r="F45" s="96">
        <f>SUMIFS(FlatDataset[Amount (ILS)],FlatDataset[Name],E45,FlatDataset[Date],"&gt;="&amp;C$3,FlatDataset[Date],"&lt;="&amp;C$4)</f>
        <v>0</v>
      </c>
      <c r="G45" s="119"/>
      <c r="H45" s="104"/>
    </row>
    <row r="46" spans="2:8" ht="15" customHeight="1">
      <c r="B46" s="123" t="s">
        <v>78</v>
      </c>
      <c r="C46" s="62">
        <f>SUM(Forecast2!C45,Forecast3!C45,Forecast4!C45,Forecast5!C45,Forecast6!C45,Forecast7!C45)</f>
        <v>600000</v>
      </c>
      <c r="E46" s="82"/>
      <c r="H46" s="91"/>
    </row>
    <row r="47" spans="2:8" ht="15" customHeight="1">
      <c r="B47" s="26"/>
      <c r="C47" s="103"/>
      <c r="E47" s="124" t="s">
        <v>145</v>
      </c>
      <c r="F47" s="96"/>
      <c r="G47" s="104"/>
      <c r="H47" s="91"/>
    </row>
    <row r="48" spans="2:8" ht="15" customHeight="1">
      <c r="E48" s="118" t="s">
        <v>114</v>
      </c>
      <c r="F48" s="96">
        <f>SUMIFS(FlatDataset[Amount (ILS)],FlatDataset[Name],E48,FlatDataset[Date],"&gt;="&amp;C$3,FlatDataset[Date],"&lt;="&amp;C$4)</f>
        <v>30000</v>
      </c>
      <c r="G48" s="119"/>
      <c r="H48" s="91"/>
    </row>
    <row r="49" spans="2:8">
      <c r="B49" s="140"/>
      <c r="C49" s="141"/>
      <c r="E49" s="118" t="s">
        <v>115</v>
      </c>
      <c r="F49" s="96">
        <f>SUMIFS(FlatDataset[Amount (ILS)],FlatDataset[Name],E49,FlatDataset[Date],"&gt;="&amp;C$3,FlatDataset[Date],"&lt;="&amp;C$4)</f>
        <v>3000</v>
      </c>
      <c r="G49" s="119"/>
      <c r="H49" s="91"/>
    </row>
    <row r="50" spans="2:8">
      <c r="B50" s="140"/>
      <c r="C50" s="142"/>
      <c r="E50" s="118" t="s">
        <v>116</v>
      </c>
      <c r="F50" s="96">
        <f>SUMIFS(FlatDataset[Amount (ILS)],FlatDataset[Name],E50,FlatDataset[Date],"&gt;="&amp;C$3,FlatDataset[Date],"&lt;="&amp;C$4)</f>
        <v>78660</v>
      </c>
      <c r="G50" s="119"/>
      <c r="H50" s="91"/>
    </row>
    <row r="51" spans="2:8">
      <c r="B51" s="143"/>
      <c r="C51" s="141"/>
      <c r="E51" s="149" t="s">
        <v>117</v>
      </c>
      <c r="F51" s="96">
        <f>SUMIFS(FlatDataset[Amount (ILS)],FlatDataset[Name],E51,FlatDataset[Date],"&gt;="&amp;C$3,FlatDataset[Date],"&lt;="&amp;C$4)</f>
        <v>6930</v>
      </c>
      <c r="G51" s="119"/>
      <c r="H51" s="91"/>
    </row>
    <row r="52" spans="2:8" ht="15" customHeight="1">
      <c r="E52" s="118"/>
      <c r="F52" s="96">
        <f>SUMIFS(FlatDataset[Amount (ILS)],FlatDataset[Name],E52,FlatDataset[Date],"&gt;="&amp;C$3,FlatDataset[Date],"&lt;="&amp;C$4)</f>
        <v>0</v>
      </c>
      <c r="G52" s="119"/>
      <c r="H52" s="91"/>
    </row>
    <row r="53" spans="2:8" ht="15" customHeight="1">
      <c r="B53" s="26"/>
      <c r="C53" s="62"/>
      <c r="E53" s="118"/>
      <c r="F53" s="96">
        <f>SUMIFS(FlatDataset[Amount (ILS)],FlatDataset[Name],E53,FlatDataset[Date],"&gt;="&amp;C$3,FlatDataset[Date],"&lt;="&amp;C$4)</f>
        <v>0</v>
      </c>
      <c r="G53" s="119"/>
      <c r="H53" s="91"/>
    </row>
    <row r="54" spans="2:8" ht="15" customHeight="1">
      <c r="E54" s="118"/>
      <c r="F54" s="96">
        <f>SUMIFS(FlatDataset[Amount (ILS)],FlatDataset[Name],E54,FlatDataset[Date],"&gt;="&amp;C$3,FlatDataset[Date],"&lt;="&amp;C$4)</f>
        <v>0</v>
      </c>
      <c r="G54" s="119"/>
      <c r="H54" s="91"/>
    </row>
    <row r="55" spans="2:8" ht="15" customHeight="1">
      <c r="E55" s="118"/>
      <c r="F55" s="96">
        <f>SUMIFS(FlatDataset[Amount (ILS)],FlatDataset[Name],E55,FlatDataset[Date],"&gt;="&amp;C$3,FlatDataset[Date],"&lt;="&amp;C$4)</f>
        <v>0</v>
      </c>
      <c r="G55" s="119"/>
      <c r="H55" s="91"/>
    </row>
    <row r="56" spans="2:8" ht="15" customHeight="1">
      <c r="E56" s="118"/>
      <c r="F56" s="96">
        <f>SUMIFS(FlatDataset[Amount (ILS)],FlatDataset[Name],E56,FlatDataset[Date],"&gt;="&amp;C$3,FlatDataset[Date],"&lt;="&amp;C$4)</f>
        <v>0</v>
      </c>
      <c r="G56" s="119"/>
      <c r="H56" s="91"/>
    </row>
    <row r="57" spans="2:8" ht="15" customHeight="1">
      <c r="E57" s="118"/>
      <c r="F57" s="96">
        <f>SUMIFS(FlatDataset[Amount (ILS)],FlatDataset[Name],E57,FlatDataset[Date],"&gt;="&amp;C$3,FlatDataset[Date],"&lt;="&amp;C$4)</f>
        <v>0</v>
      </c>
      <c r="G57" s="119"/>
      <c r="H57" s="91"/>
    </row>
    <row r="58" spans="2:8" ht="15" customHeight="1">
      <c r="E58" s="118"/>
      <c r="F58" s="96">
        <f>SUMIFS(FlatDataset[Amount (ILS)],FlatDataset[Name],E58,FlatDataset[Date],"&gt;="&amp;C$3,FlatDataset[Date],"&lt;="&amp;C$4)</f>
        <v>0</v>
      </c>
      <c r="G58" s="119"/>
      <c r="H58" s="91"/>
    </row>
    <row r="59" spans="2:8" ht="15" customHeight="1">
      <c r="E59" s="118"/>
      <c r="F59" s="96">
        <f>SUMIFS(FlatDataset[Amount (ILS)],FlatDataset[Name],E59,FlatDataset[Date],"&gt;="&amp;C$3,FlatDataset[Date],"&lt;="&amp;C$4)</f>
        <v>0</v>
      </c>
      <c r="G59" s="119"/>
      <c r="H59" s="91"/>
    </row>
    <row r="60" spans="2:8" ht="15" customHeight="1">
      <c r="H60" s="91"/>
    </row>
    <row r="61" spans="2:8" ht="15" customHeight="1">
      <c r="E61" s="124" t="s">
        <v>21</v>
      </c>
      <c r="F61" s="96"/>
      <c r="H61" s="91"/>
    </row>
    <row r="62" spans="2:8" ht="15" customHeight="1">
      <c r="E62" s="118" t="s">
        <v>110</v>
      </c>
      <c r="F62" s="96">
        <f>SUMIFS(FlatDataset[Amount (ILS)],FlatDataset[Name],E62,FlatDataset[Date],"&gt;="&amp;C$3,FlatDataset[Date],"&lt;="&amp;C$4)</f>
        <v>50000</v>
      </c>
      <c r="G62" s="119"/>
      <c r="H62" s="91"/>
    </row>
    <row r="63" spans="2:8" ht="15" customHeight="1">
      <c r="E63" s="118" t="s">
        <v>111</v>
      </c>
      <c r="F63" s="96">
        <f>SUMIFS(FlatDataset[Amount (ILS)],FlatDataset[Name],E63,FlatDataset[Date],"&gt;="&amp;C$3,FlatDataset[Date],"&lt;="&amp;C$4)</f>
        <v>43700</v>
      </c>
      <c r="G63" s="119"/>
      <c r="H63" s="91"/>
    </row>
    <row r="64" spans="2:8" ht="15" customHeight="1">
      <c r="E64" s="118" t="s">
        <v>112</v>
      </c>
      <c r="F64" s="96">
        <f>SUMIFS(FlatDataset[Amount (ILS)],FlatDataset[Name],E64,FlatDataset[Date],"&gt;="&amp;C$3,FlatDataset[Date],"&lt;="&amp;C$4)</f>
        <v>20000</v>
      </c>
      <c r="G64" s="119"/>
      <c r="H64" s="91"/>
    </row>
    <row r="65" spans="5:8" ht="15" customHeight="1">
      <c r="E65" s="118" t="s">
        <v>113</v>
      </c>
      <c r="F65" s="96">
        <f>SUMIFS(FlatDataset[Amount (ILS)],FlatDataset[Name],E65,FlatDataset[Date],"&gt;="&amp;C$3,FlatDataset[Date],"&lt;="&amp;C$4)</f>
        <v>100000</v>
      </c>
      <c r="G65" s="119"/>
      <c r="H65" s="91"/>
    </row>
    <row r="66" spans="5:8" ht="15" customHeight="1">
      <c r="E66" s="118"/>
      <c r="F66" s="96">
        <f>SUMIFS(FlatDataset[Amount (ILS)],FlatDataset[Name],E66,FlatDataset[Date],"&gt;="&amp;C$3,FlatDataset[Date],"&lt;="&amp;C$4)</f>
        <v>0</v>
      </c>
      <c r="G66" s="119"/>
      <c r="H66" s="91"/>
    </row>
    <row r="67" spans="5:8" ht="15" customHeight="1">
      <c r="E67" s="118"/>
      <c r="F67" s="96">
        <f>SUMIFS(FlatDataset[Amount (ILS)],FlatDataset[Name],E67,FlatDataset[Date],"&gt;="&amp;C$3,FlatDataset[Date],"&lt;="&amp;C$4)</f>
        <v>0</v>
      </c>
      <c r="G67" s="119"/>
      <c r="H67" s="91"/>
    </row>
    <row r="68" spans="5:8" ht="15" customHeight="1">
      <c r="E68" s="118"/>
      <c r="F68" s="96">
        <f>SUMIFS(FlatDataset[Amount (ILS)],FlatDataset[Name],E68,FlatDataset[Date],"&gt;="&amp;C$3,FlatDataset[Date],"&lt;="&amp;C$4)</f>
        <v>0</v>
      </c>
      <c r="G68" s="119"/>
      <c r="H68" s="91"/>
    </row>
    <row r="69" spans="5:8" ht="15" customHeight="1">
      <c r="E69" s="118"/>
      <c r="F69" s="96">
        <f>SUMIFS(FlatDataset[Amount (ILS)],FlatDataset[Name],E69,FlatDataset[Date],"&gt;="&amp;C$3,FlatDataset[Date],"&lt;="&amp;C$4)</f>
        <v>0</v>
      </c>
      <c r="G69" s="119"/>
      <c r="H69" s="91"/>
    </row>
    <row r="70" spans="5:8" ht="15" customHeight="1">
      <c r="E70" s="118"/>
      <c r="F70" s="96">
        <f>SUMIFS(FlatDataset[Amount (ILS)],FlatDataset[Name],E70,FlatDataset[Date],"&gt;="&amp;C$3,FlatDataset[Date],"&lt;="&amp;C$4)</f>
        <v>0</v>
      </c>
      <c r="G70" s="119"/>
      <c r="H70" s="91"/>
    </row>
    <row r="71" spans="5:8" ht="15" customHeight="1">
      <c r="E71" s="118"/>
      <c r="F71" s="96">
        <f>SUMIFS(FlatDataset[Amount (ILS)],FlatDataset[Name],E71,FlatDataset[Date],"&gt;="&amp;C$3,FlatDataset[Date],"&lt;="&amp;C$4)</f>
        <v>0</v>
      </c>
      <c r="G71" s="119"/>
      <c r="H71" s="91"/>
    </row>
    <row r="72" spans="5:8" ht="15" customHeight="1">
      <c r="E72" s="118"/>
      <c r="F72" s="96">
        <f>SUMIFS(FlatDataset[Amount (ILS)],FlatDataset[Name],E72,FlatDataset[Date],"&gt;="&amp;C$3,FlatDataset[Date],"&lt;="&amp;C$4)</f>
        <v>0</v>
      </c>
      <c r="G72" s="119"/>
      <c r="H72" s="91"/>
    </row>
    <row r="73" spans="5:8" ht="15" customHeight="1">
      <c r="E73" s="118"/>
      <c r="F73" s="96">
        <f>SUMIFS(FlatDataset[Amount (ILS)],FlatDataset[Name],E73,FlatDataset[Date],"&gt;="&amp;C$3,FlatDataset[Date],"&lt;="&amp;C$4)</f>
        <v>0</v>
      </c>
      <c r="G73" s="119"/>
      <c r="H73" s="91"/>
    </row>
    <row r="74" spans="5:8" ht="15" customHeight="1">
      <c r="E74" s="118"/>
      <c r="F74" s="96">
        <f>SUMIFS(FlatDataset[Amount (ILS)],FlatDataset[Name],E74,FlatDataset[Date],"&gt;="&amp;C$3,FlatDataset[Date],"&lt;="&amp;C$4)</f>
        <v>0</v>
      </c>
      <c r="G74" s="119"/>
      <c r="H74" s="91"/>
    </row>
    <row r="75" spans="5:8" ht="15" customHeight="1">
      <c r="E75" s="118"/>
      <c r="F75" s="96">
        <f>SUMIFS(FlatDataset[Amount (ILS)],FlatDataset[Name],E75,FlatDataset[Date],"&gt;="&amp;C$3,FlatDataset[Date],"&lt;="&amp;C$4)</f>
        <v>0</v>
      </c>
      <c r="G75" s="119"/>
      <c r="H75" s="91"/>
    </row>
    <row r="76" spans="5:8">
      <c r="E76" s="118"/>
      <c r="F76" s="96">
        <f>SUMIFS(FlatDataset[Amount (ILS)],FlatDataset[Name],E76,FlatDataset[Date],"&gt;="&amp;C$3,FlatDataset[Date],"&lt;="&amp;C$4)</f>
        <v>0</v>
      </c>
      <c r="G76" s="119"/>
      <c r="H76" s="91"/>
    </row>
    <row r="77" spans="5:8" ht="15" customHeight="1">
      <c r="E77" s="118"/>
      <c r="F77" s="96">
        <f>SUMIFS(FlatDataset[Amount (ILS)],FlatDataset[Name],E77,FlatDataset[Date],"&gt;="&amp;C$3,FlatDataset[Date],"&lt;="&amp;C$4)</f>
        <v>0</v>
      </c>
      <c r="G77" s="119"/>
      <c r="H77" s="91"/>
    </row>
    <row r="78" spans="5:8" ht="15" customHeight="1">
      <c r="E78" s="118"/>
      <c r="F78" s="96">
        <f>SUMIFS(FlatDataset[Amount (ILS)],FlatDataset[Name],E78,FlatDataset[Date],"&gt;="&amp;C$3,FlatDataset[Date],"&lt;="&amp;C$4)</f>
        <v>0</v>
      </c>
      <c r="G78" s="119"/>
      <c r="H78" s="91"/>
    </row>
    <row r="79" spans="5:8" ht="15" customHeight="1">
      <c r="E79" s="118"/>
      <c r="F79" s="96">
        <f>SUMIFS(FlatDataset[Amount (ILS)],FlatDataset[Name],E79,FlatDataset[Date],"&gt;="&amp;C$3,FlatDataset[Date],"&lt;="&amp;C$4)</f>
        <v>0</v>
      </c>
      <c r="G79" s="119"/>
      <c r="H79" s="91"/>
    </row>
    <row r="80" spans="5:8" ht="15" customHeight="1">
      <c r="E80" s="118"/>
      <c r="F80" s="96">
        <f>SUMIFS(FlatDataset[Amount (ILS)],FlatDataset[Name],E80,FlatDataset[Date],"&gt;="&amp;C$3,FlatDataset[Date],"&lt;="&amp;C$4)</f>
        <v>0</v>
      </c>
      <c r="G80" s="119"/>
    </row>
    <row r="81" spans="2:8" ht="15" customHeight="1">
      <c r="E81" s="118"/>
      <c r="F81" s="96">
        <f>SUMIFS(FlatDataset[Amount (ILS)],FlatDataset[Name],E81,FlatDataset[Date],"&gt;="&amp;C$3,FlatDataset[Date],"&lt;="&amp;C$4)</f>
        <v>0</v>
      </c>
      <c r="G81" s="119"/>
    </row>
    <row r="82" spans="2:8" ht="15" customHeight="1">
      <c r="E82" s="118"/>
      <c r="F82" s="96">
        <f>SUMIFS(FlatDataset[Amount (ILS)],FlatDataset[Name],E82,FlatDataset[Date],"&gt;="&amp;C$3,FlatDataset[Date],"&lt;="&amp;C$4)</f>
        <v>0</v>
      </c>
      <c r="G82" s="119"/>
    </row>
    <row r="83" spans="2:8" ht="15" customHeight="1">
      <c r="E83" s="118"/>
      <c r="F83" s="96">
        <f>SUMIFS(FlatDataset[Amount (ILS)],FlatDataset[Name],E83,FlatDataset[Date],"&gt;="&amp;C$3,FlatDataset[Date],"&lt;="&amp;C$4)</f>
        <v>0</v>
      </c>
      <c r="G83" s="119"/>
      <c r="H83" s="91"/>
    </row>
    <row r="84" spans="2:8" ht="15" customHeight="1">
      <c r="E84" s="118"/>
      <c r="F84" s="96">
        <f>SUMIFS(FlatDataset[Amount (ILS)],FlatDataset[Name],E84,FlatDataset[Date],"&gt;="&amp;C$3,FlatDataset[Date],"&lt;="&amp;C$4)</f>
        <v>0</v>
      </c>
      <c r="G84" s="119"/>
      <c r="H84" s="91"/>
    </row>
    <row r="85" spans="2:8" ht="15" customHeight="1">
      <c r="E85" s="118"/>
      <c r="F85" s="96">
        <f>SUMIFS(FlatDataset[Amount (ILS)],FlatDataset[Name],E85,FlatDataset[Date],"&gt;="&amp;C$3,FlatDataset[Date],"&lt;="&amp;C$4)</f>
        <v>0</v>
      </c>
      <c r="G85" s="119"/>
      <c r="H85" s="91"/>
    </row>
    <row r="86" spans="2:8" ht="15" customHeight="1">
      <c r="E86" s="118"/>
      <c r="F86" s="96">
        <f>SUMIFS(FlatDataset[Amount (ILS)],FlatDataset[Name],E86,FlatDataset[Date],"&gt;="&amp;C$3,FlatDataset[Date],"&lt;="&amp;C$4)</f>
        <v>0</v>
      </c>
      <c r="G86" s="119"/>
      <c r="H86" s="91"/>
    </row>
    <row r="87" spans="2:8" ht="15" customHeight="1">
      <c r="E87" s="118"/>
      <c r="F87" s="96">
        <f>SUMIFS(FlatDataset[Amount (ILS)],FlatDataset[Name],E87,FlatDataset[Date],"&gt;="&amp;C$3,FlatDataset[Date],"&lt;="&amp;C$4)</f>
        <v>0</v>
      </c>
      <c r="G87" s="119"/>
      <c r="H87" s="91"/>
    </row>
    <row r="88" spans="2:8" ht="15" customHeight="1">
      <c r="B88" s="15"/>
      <c r="C88" s="108"/>
      <c r="E88" s="118"/>
      <c r="F88" s="96">
        <f>SUMIFS(FlatDataset[Amount (ILS)],FlatDataset[Name],E88,FlatDataset[Date],"&gt;="&amp;C$3,FlatDataset[Date],"&lt;="&amp;C$4)</f>
        <v>0</v>
      </c>
      <c r="G88" s="119"/>
      <c r="H88" s="91"/>
    </row>
    <row r="89" spans="2:8" ht="15" customHeight="1">
      <c r="B89" s="15"/>
      <c r="C89" s="108"/>
      <c r="E89" s="118"/>
      <c r="F89" s="96">
        <f>SUMIFS(FlatDataset[Amount (ILS)],FlatDataset[Name],E89,FlatDataset[Date],"&gt;="&amp;C$3,FlatDataset[Date],"&lt;="&amp;C$4)</f>
        <v>0</v>
      </c>
      <c r="G89" s="119"/>
      <c r="H89" s="91"/>
    </row>
    <row r="90" spans="2:8">
      <c r="B90" s="15"/>
      <c r="C90" s="15"/>
      <c r="E90" s="118"/>
      <c r="F90" s="96">
        <f>SUMIFS(FlatDataset[Amount (ILS)],FlatDataset[Name],E90,FlatDataset[Date],"&gt;="&amp;C$3,FlatDataset[Date],"&lt;="&amp;C$4)</f>
        <v>0</v>
      </c>
      <c r="G90" s="119"/>
      <c r="H90" s="91"/>
    </row>
    <row r="91" spans="2:8">
      <c r="B91" s="15"/>
      <c r="C91" s="62"/>
      <c r="E91" s="118"/>
      <c r="F91" s="96">
        <f>SUMIFS(FlatDataset[Amount (ILS)],FlatDataset[Name],E91,FlatDataset[Date],"&gt;="&amp;C$3,FlatDataset[Date],"&lt;="&amp;C$4)</f>
        <v>0</v>
      </c>
      <c r="G91" s="119"/>
      <c r="H91" s="91"/>
    </row>
    <row r="92" spans="2:8" ht="15" customHeight="1">
      <c r="B92" s="41"/>
      <c r="C92" s="125"/>
      <c r="E92" s="118"/>
      <c r="F92" s="96">
        <f>SUMIFS(FlatDataset[Amount (ILS)],FlatDataset[Name],E92,FlatDataset[Date],"&gt;="&amp;C$3,FlatDataset[Date],"&lt;="&amp;C$4)</f>
        <v>0</v>
      </c>
      <c r="G92" s="119"/>
      <c r="H92" s="91"/>
    </row>
    <row r="93" spans="2:8" ht="15" customHeight="1">
      <c r="C93" s="103"/>
      <c r="E93" s="118"/>
      <c r="F93" s="96">
        <f>SUMIFS(FlatDataset[Amount (ILS)],FlatDataset[Name],E93,FlatDataset[Date],"&gt;="&amp;C$3,FlatDataset[Date],"&lt;="&amp;C$4)</f>
        <v>0</v>
      </c>
      <c r="G93" s="119"/>
      <c r="H93" s="91"/>
    </row>
    <row r="94" spans="2:8" ht="15" customHeight="1">
      <c r="E94" s="118"/>
      <c r="F94" s="96">
        <f>SUMIFS(FlatDataset[Amount (ILS)],FlatDataset[Name],E94,FlatDataset[Date],"&gt;="&amp;C$3,FlatDataset[Date],"&lt;="&amp;C$4)</f>
        <v>0</v>
      </c>
      <c r="G94" s="119"/>
      <c r="H94" s="91"/>
    </row>
    <row r="95" spans="2:8" ht="15" customHeight="1">
      <c r="E95" s="118"/>
      <c r="F95" s="96">
        <f>SUMIFS(FlatDataset[Amount (ILS)],FlatDataset[Name],E95,FlatDataset[Date],"&gt;="&amp;C$3,FlatDataset[Date],"&lt;="&amp;C$4)</f>
        <v>0</v>
      </c>
      <c r="G95" s="119"/>
      <c r="H95" s="91"/>
    </row>
    <row r="96" spans="2:8" ht="15" customHeight="1">
      <c r="E96" s="118"/>
      <c r="F96" s="96">
        <f>SUMIFS(FlatDataset[Amount (ILS)],FlatDataset[Name],E96,FlatDataset[Date],"&gt;="&amp;C$3,FlatDataset[Date],"&lt;="&amp;C$4)</f>
        <v>0</v>
      </c>
      <c r="G96" s="119"/>
      <c r="H96" s="91"/>
    </row>
    <row r="97" spans="2:8" ht="15" customHeight="1">
      <c r="E97" s="118"/>
      <c r="F97" s="96">
        <f>SUMIFS(FlatDataset[Amount (ILS)],FlatDataset[Name],E97,FlatDataset[Date],"&gt;="&amp;C$3,FlatDataset[Date],"&lt;="&amp;C$4)</f>
        <v>0</v>
      </c>
      <c r="G97" s="119"/>
      <c r="H97" s="91"/>
    </row>
    <row r="98" spans="2:8" ht="15" customHeight="1">
      <c r="E98" s="118"/>
      <c r="F98" s="96">
        <f>SUMIFS(FlatDataset[Amount (ILS)],FlatDataset[Name],E98,FlatDataset[Date],"&gt;="&amp;C$3,FlatDataset[Date],"&lt;="&amp;C$4)</f>
        <v>0</v>
      </c>
      <c r="G98" s="119"/>
      <c r="H98" s="91"/>
    </row>
    <row r="99" spans="2:8" ht="15" customHeight="1">
      <c r="D99" s="81"/>
      <c r="E99" s="118"/>
      <c r="F99" s="96">
        <f>SUMIFS(FlatDataset[Amount (ILS)],FlatDataset[Name],E99,FlatDataset[Date],"&gt;="&amp;C$3,FlatDataset[Date],"&lt;="&amp;C$4)</f>
        <v>0</v>
      </c>
      <c r="G99" s="119"/>
      <c r="H99" s="91"/>
    </row>
    <row r="100" spans="2:8" ht="15" customHeight="1">
      <c r="C100" s="96"/>
      <c r="E100" s="118"/>
      <c r="F100" s="96">
        <f>SUMIFS(FlatDataset[Amount (ILS)],FlatDataset[Name],E100,FlatDataset[Date],"&gt;="&amp;C$3,FlatDataset[Date],"&lt;="&amp;C$4)</f>
        <v>0</v>
      </c>
      <c r="G100" s="119"/>
      <c r="H100" s="91"/>
    </row>
    <row r="101" spans="2:8" ht="15" customHeight="1">
      <c r="E101" s="118"/>
      <c r="F101" s="96">
        <f>SUMIFS(FlatDataset[Amount (ILS)],FlatDataset[Name],E101,FlatDataset[Date],"&gt;="&amp;C$3,FlatDataset[Date],"&lt;="&amp;C$4)</f>
        <v>0</v>
      </c>
      <c r="G101" s="119"/>
      <c r="H101" s="91"/>
    </row>
    <row r="102" spans="2:8" ht="15" customHeight="1">
      <c r="C102" s="96"/>
      <c r="E102" s="118"/>
      <c r="F102" s="96">
        <f>SUMIFS(FlatDataset[Amount (ILS)],FlatDataset[Name],E102,FlatDataset[Date],"&gt;="&amp;C$3,FlatDataset[Date],"&lt;="&amp;C$4)</f>
        <v>0</v>
      </c>
      <c r="G102" s="119"/>
      <c r="H102" s="91"/>
    </row>
    <row r="103" spans="2:8" ht="15" customHeight="1">
      <c r="C103" s="96"/>
      <c r="E103" s="118"/>
      <c r="F103" s="96">
        <f>SUMIFS(FlatDataset[Amount (ILS)],FlatDataset[Name],E103,FlatDataset[Date],"&gt;="&amp;C$3,FlatDataset[Date],"&lt;="&amp;C$4)</f>
        <v>0</v>
      </c>
      <c r="G103" s="119"/>
      <c r="H103" s="91"/>
    </row>
    <row r="104" spans="2:8" ht="15" customHeight="1">
      <c r="B104" s="26"/>
      <c r="C104" s="126"/>
      <c r="E104" s="118"/>
      <c r="F104" s="96">
        <f>SUMIFS(FlatDataset[Amount (ILS)],FlatDataset[Name],E104,FlatDataset[Date],"&gt;="&amp;C$3,FlatDataset[Date],"&lt;="&amp;C$4)</f>
        <v>0</v>
      </c>
      <c r="G104" s="119"/>
      <c r="H104" s="91"/>
    </row>
    <row r="105" spans="2:8" ht="15" customHeight="1">
      <c r="C105" s="96"/>
      <c r="E105" s="118"/>
      <c r="F105" s="96">
        <f>SUMIFS(FlatDataset[Amount (ILS)],FlatDataset[Name],E105,FlatDataset[Date],"&gt;="&amp;C$3,FlatDataset[Date],"&lt;="&amp;C$4)</f>
        <v>0</v>
      </c>
      <c r="G105" s="119"/>
      <c r="H105" s="91"/>
    </row>
    <row r="106" spans="2:8" ht="15" customHeight="1">
      <c r="B106" s="26"/>
      <c r="C106" s="126"/>
      <c r="E106" s="118"/>
      <c r="F106" s="96">
        <f>SUMIFS(FlatDataset[Amount (ILS)],FlatDataset[Name],E106,FlatDataset[Date],"&gt;="&amp;C$3,FlatDataset[Date],"&lt;="&amp;C$4)</f>
        <v>0</v>
      </c>
      <c r="G106" s="119"/>
      <c r="H106" s="91"/>
    </row>
    <row r="107" spans="2:8" ht="15" customHeight="1">
      <c r="C107" s="96"/>
      <c r="E107" s="118"/>
      <c r="F107" s="96">
        <f>SUMIFS(FlatDataset[Amount (ILS)],FlatDataset[Name],E107,FlatDataset[Date],"&gt;="&amp;C$3,FlatDataset[Date],"&lt;="&amp;C$4)</f>
        <v>0</v>
      </c>
      <c r="G107" s="119"/>
      <c r="H107" s="91"/>
    </row>
    <row r="108" spans="2:8" ht="15" customHeight="1">
      <c r="C108" s="96"/>
      <c r="E108" s="118"/>
      <c r="F108" s="96">
        <f>SUMIFS(FlatDataset[Amount (ILS)],FlatDataset[Name],E108,FlatDataset[Date],"&gt;="&amp;C$3,FlatDataset[Date],"&lt;="&amp;C$4)</f>
        <v>0</v>
      </c>
      <c r="G108" s="119"/>
    </row>
    <row r="109" spans="2:8" ht="15" customHeight="1">
      <c r="E109" s="118"/>
      <c r="F109" s="96">
        <f>SUMIFS(FlatDataset[Amount (ILS)],FlatDataset[Name],E109,FlatDataset[Date],"&gt;="&amp;C$3,FlatDataset[Date],"&lt;="&amp;C$4)</f>
        <v>0</v>
      </c>
      <c r="G109" s="119"/>
    </row>
    <row r="110" spans="2:8" ht="15" customHeight="1">
      <c r="E110" s="118"/>
      <c r="F110" s="96">
        <f>SUMIFS(FlatDataset[Amount (ILS)],FlatDataset[Name],E110,FlatDataset[Date],"&gt;="&amp;C$3,FlatDataset[Date],"&lt;="&amp;C$4)</f>
        <v>0</v>
      </c>
      <c r="G110" s="119"/>
    </row>
    <row r="111" spans="2:8" ht="15" customHeight="1">
      <c r="E111" s="118"/>
      <c r="F111" s="96">
        <f>SUMIFS(FlatDataset[Amount (ILS)],FlatDataset[Name],E111,FlatDataset[Date],"&gt;="&amp;C$3,FlatDataset[Date],"&lt;="&amp;C$4)</f>
        <v>0</v>
      </c>
      <c r="G111" s="119"/>
    </row>
    <row r="112" spans="2:8" ht="15" customHeight="1">
      <c r="E112" s="118"/>
      <c r="F112" s="96">
        <f>SUMIFS(FlatDataset[Amount (ILS)],FlatDataset[Name],E112,FlatDataset[Date],"&gt;="&amp;C$3,FlatDataset[Date],"&lt;="&amp;C$4)</f>
        <v>0</v>
      </c>
      <c r="G112" s="119"/>
    </row>
    <row r="114" spans="5:6" ht="15" customHeight="1"/>
    <row r="115" spans="5:6" ht="15" customHeight="1"/>
    <row r="116" spans="5:6" ht="15" customHeight="1"/>
    <row r="117" spans="5:6" ht="15" customHeight="1">
      <c r="F117" s="96"/>
    </row>
    <row r="118" spans="5:6" ht="15" customHeight="1"/>
    <row r="119" spans="5:6">
      <c r="E119" s="117" t="s">
        <v>40</v>
      </c>
      <c r="F119" s="96"/>
    </row>
    <row r="120" spans="5:6">
      <c r="F120" s="96"/>
    </row>
    <row r="121" spans="5:6" ht="15" customHeight="1">
      <c r="E121" s="82" t="s">
        <v>55</v>
      </c>
      <c r="F121" s="96">
        <f>SUMIFS(FlatDataset[Amount (ILS)],FlatDataset[Payment method],E121,FlatDataset[Date],"&gt;="&amp;C$3,FlatDataset[Date],"&lt;="&amp;$C$4)</f>
        <v>3000</v>
      </c>
    </row>
    <row r="122" spans="5:6" ht="15" customHeight="1">
      <c r="E122" s="82" t="s">
        <v>58</v>
      </c>
      <c r="F122" s="96">
        <f>SUMIFS(FlatDataset[Amount (ILS)],FlatDataset[Payment method],E122,FlatDataset[Date],"&gt;="&amp;C$3,FlatDataset[Date],"&lt;="&amp;$C$4)</f>
        <v>54100</v>
      </c>
    </row>
    <row r="123" spans="5:6" ht="15" customHeight="1">
      <c r="E123" s="82"/>
    </row>
    <row r="125" spans="5:6">
      <c r="E125" s="77" t="s">
        <v>59</v>
      </c>
    </row>
    <row r="126" spans="5:6">
      <c r="E126" s="118" t="s">
        <v>95</v>
      </c>
      <c r="F126" s="96">
        <f>SUMIFS(FlatDataset[Amount (ILS)],FlatDataset[Name],E126,FlatDataset[Date],"&gt;="&amp;C$3,FlatDataset[Date],"&lt;="&amp;C$4)</f>
        <v>26220</v>
      </c>
    </row>
    <row r="127" spans="5:6">
      <c r="E127" s="118"/>
      <c r="F127" s="96">
        <f>SUMIFS(FlatDataset[Amount (ILS)],FlatDataset[Name],E127,FlatDataset[Date],"&gt;="&amp;C$3,FlatDataset[Date],"&lt;="&amp;C$4)</f>
        <v>0</v>
      </c>
    </row>
    <row r="128" spans="5:6">
      <c r="E128" s="118"/>
      <c r="F128" s="96">
        <f>SUMIFS(FlatDataset[Amount (ILS)],FlatDataset[Name],E128,FlatDataset[Date],"&gt;="&amp;C$3,FlatDataset[Date],"&lt;="&amp;C$4)</f>
        <v>0</v>
      </c>
    </row>
    <row r="129" spans="2:6">
      <c r="E129" s="118"/>
      <c r="F129" s="96">
        <f>SUMIFS(FlatDataset[Amount (ILS)],FlatDataset[Name],E129,FlatDataset[Date],"&gt;="&amp;C$3,FlatDataset[Date],"&lt;="&amp;C$4)</f>
        <v>0</v>
      </c>
    </row>
    <row r="130" spans="2:6">
      <c r="E130" s="118"/>
      <c r="F130" s="96">
        <f>SUMIFS(FlatDataset[Amount (ILS)],FlatDataset[Name],E130,FlatDataset[Date],"&gt;="&amp;C$3,FlatDataset[Date],"&lt;="&amp;C$4)</f>
        <v>0</v>
      </c>
    </row>
    <row r="131" spans="2:6" ht="15" customHeight="1">
      <c r="E131" s="118"/>
      <c r="F131" s="96">
        <f>SUMIFS(FlatDataset[Amount (ILS)],FlatDataset[Name],E131,FlatDataset[Date],"&gt;="&amp;C$3,FlatDataset[Date],"&lt;="&amp;C$4)</f>
        <v>0</v>
      </c>
    </row>
    <row r="132" spans="2:6" ht="15" customHeight="1">
      <c r="E132" s="118"/>
      <c r="F132" s="96">
        <f>SUMIFS(FlatDataset[Amount (ILS)],FlatDataset[Name],E132,FlatDataset[Date],"&gt;="&amp;C$3,FlatDataset[Date],"&lt;="&amp;C$4)</f>
        <v>0</v>
      </c>
    </row>
    <row r="133" spans="2:6" ht="15" customHeight="1">
      <c r="E133" s="118"/>
      <c r="F133" s="96">
        <f>SUMIFS(FlatDataset[Amount (ILS)],FlatDataset[Name],E133,FlatDataset[Date],"&gt;="&amp;C$3,FlatDataset[Date],"&lt;="&amp;C$4)</f>
        <v>0</v>
      </c>
    </row>
    <row r="134" spans="2:6" ht="15" customHeight="1">
      <c r="E134" s="118"/>
      <c r="F134" s="96">
        <f>SUMIFS(FlatDataset[Amount (ILS)],FlatDataset[Name],E134,FlatDataset[Date],"&gt;="&amp;C$3,FlatDataset[Date],"&lt;="&amp;C$4)</f>
        <v>0</v>
      </c>
    </row>
    <row r="135" spans="2:6" ht="15" customHeight="1"/>
    <row r="136" spans="2:6" ht="15" customHeight="1"/>
    <row r="137" spans="2:6" ht="15" customHeight="1">
      <c r="F137" s="96"/>
    </row>
    <row r="138" spans="2:6" ht="15" customHeight="1">
      <c r="F138" s="96"/>
    </row>
    <row r="139" spans="2:6" ht="15.75" customHeight="1" thickBot="1">
      <c r="B139" s="127" t="s">
        <v>42</v>
      </c>
      <c r="C139" s="121">
        <f>SUM(C43,C46)</f>
        <v>773000</v>
      </c>
      <c r="E139" s="127" t="s">
        <v>30</v>
      </c>
      <c r="F139" s="121">
        <f>SUM(F38:F138)-SUMIF(G38:G138,"x",F38:F138)+F32+F24</f>
        <v>1761710</v>
      </c>
    </row>
    <row r="140" spans="2:6" ht="15" customHeight="1"/>
    <row r="141" spans="2:6" ht="15" customHeight="1"/>
    <row r="142" spans="2:6" ht="15" customHeight="1"/>
    <row r="143" spans="2:6" ht="15.75" customHeight="1" thickBot="1">
      <c r="B143" s="115" t="s">
        <v>43</v>
      </c>
      <c r="C143" s="116">
        <f>SUM(C139,-F139)</f>
        <v>-988710</v>
      </c>
    </row>
    <row r="144" spans="2:6" ht="15.75" customHeight="1" thickTop="1"/>
    <row r="145" ht="15" customHeight="1"/>
    <row r="146" ht="15" customHeight="1"/>
    <row r="147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6" ht="15" customHeight="1"/>
    <row r="187" ht="15" customHeight="1"/>
    <row r="188" ht="15" customHeight="1"/>
    <row r="189" ht="15" customHeight="1"/>
    <row r="190" ht="15" customHeight="1"/>
    <row r="193" ht="15" customHeight="1"/>
    <row r="194" ht="15" customHeight="1"/>
    <row r="195" ht="15" customHeight="1"/>
    <row r="196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6" ht="15" customHeight="1"/>
    <row r="257" ht="15" customHeight="1"/>
    <row r="258" ht="15" customHeight="1"/>
    <row r="259" ht="15" customHeight="1"/>
    <row r="260" ht="15" customHeight="1"/>
    <row r="263" ht="15" customHeight="1"/>
    <row r="264" ht="15" customHeight="1"/>
    <row r="265" ht="15" customHeight="1"/>
  </sheetData>
  <conditionalFormatting sqref="C88">
    <cfRule type="cellIs" dxfId="85" priority="41" operator="lessThan">
      <formula>0</formula>
    </cfRule>
    <cfRule type="cellIs" dxfId="84" priority="42" operator="greaterThan">
      <formula>0</formula>
    </cfRule>
  </conditionalFormatting>
  <conditionalFormatting sqref="E47">
    <cfRule type="duplicateValues" dxfId="83" priority="40"/>
  </conditionalFormatting>
  <conditionalFormatting sqref="C143">
    <cfRule type="cellIs" dxfId="82" priority="38" operator="lessThan">
      <formula>0</formula>
    </cfRule>
    <cfRule type="cellIs" dxfId="81" priority="39" operator="greaterThan">
      <formula>0</formula>
    </cfRule>
  </conditionalFormatting>
  <conditionalFormatting sqref="C92">
    <cfRule type="cellIs" dxfId="80" priority="36" operator="lessThan">
      <formula>0</formula>
    </cfRule>
    <cfRule type="cellIs" dxfId="79" priority="37" operator="greaterThan">
      <formula>0</formula>
    </cfRule>
  </conditionalFormatting>
  <conditionalFormatting sqref="C34">
    <cfRule type="cellIs" dxfId="78" priority="33" operator="lessThan">
      <formula>0</formula>
    </cfRule>
    <cfRule type="cellIs" dxfId="77" priority="34" operator="greaterThan">
      <formula>0</formula>
    </cfRule>
  </conditionalFormatting>
  <conditionalFormatting sqref="E15">
    <cfRule type="duplicateValues" dxfId="76" priority="30"/>
  </conditionalFormatting>
  <conditionalFormatting sqref="E15">
    <cfRule type="duplicateValues" dxfId="75" priority="31"/>
  </conditionalFormatting>
  <conditionalFormatting sqref="E16">
    <cfRule type="duplicateValues" dxfId="74" priority="28"/>
  </conditionalFormatting>
  <conditionalFormatting sqref="E16">
    <cfRule type="duplicateValues" dxfId="73" priority="29"/>
  </conditionalFormatting>
  <conditionalFormatting sqref="E30">
    <cfRule type="duplicateValues" dxfId="72" priority="24"/>
  </conditionalFormatting>
  <conditionalFormatting sqref="E30">
    <cfRule type="duplicateValues" dxfId="71" priority="25"/>
  </conditionalFormatting>
  <conditionalFormatting sqref="E61">
    <cfRule type="duplicateValues" dxfId="70" priority="19"/>
  </conditionalFormatting>
  <conditionalFormatting sqref="E31">
    <cfRule type="duplicateValues" dxfId="69" priority="17"/>
  </conditionalFormatting>
  <conditionalFormatting sqref="E31">
    <cfRule type="duplicateValues" dxfId="68" priority="18"/>
  </conditionalFormatting>
  <conditionalFormatting sqref="E17">
    <cfRule type="duplicateValues" dxfId="67" priority="11"/>
  </conditionalFormatting>
  <conditionalFormatting sqref="E17">
    <cfRule type="duplicateValues" dxfId="66" priority="12"/>
  </conditionalFormatting>
  <pageMargins left="0.7" right="0.7" top="0.75" bottom="0.75" header="0.3" footer="0.3"/>
  <pageSetup paperSize="9" orientation="portrait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M140"/>
  <sheetViews>
    <sheetView showGridLines="0" rightToLeft="1" zoomScaleNormal="100" workbookViewId="0">
      <selection activeCell="C4" sqref="C4"/>
    </sheetView>
  </sheetViews>
  <sheetFormatPr defaultColWidth="9.140625" defaultRowHeight="15"/>
  <cols>
    <col min="1" max="1" width="5.85546875" style="14" customWidth="1"/>
    <col min="2" max="2" width="28.42578125" style="14" customWidth="1"/>
    <col min="3" max="3" width="13.7109375" style="14" customWidth="1"/>
    <col min="4" max="4" width="6.28515625" style="82" customWidth="1"/>
    <col min="5" max="5" width="36.42578125" style="14" customWidth="1"/>
    <col min="6" max="6" width="13" style="29" customWidth="1"/>
    <col min="7" max="7" width="4.7109375" style="128" customWidth="1"/>
    <col min="8" max="8" width="3.28515625" style="14" customWidth="1"/>
    <col min="9" max="9" width="13.7109375" style="92" customWidth="1"/>
    <col min="10" max="12" width="13.7109375" style="82" customWidth="1"/>
    <col min="13" max="15" width="13.7109375" style="14" customWidth="1"/>
    <col min="16" max="16384" width="9.140625" style="14"/>
  </cols>
  <sheetData>
    <row r="3" spans="1:13">
      <c r="B3" s="14" t="s">
        <v>24</v>
      </c>
      <c r="C3" s="129">
        <f>'All Periods'!C3</f>
        <v>42064</v>
      </c>
    </row>
    <row r="4" spans="1:13">
      <c r="B4" s="14" t="s">
        <v>25</v>
      </c>
      <c r="C4" s="93">
        <v>42094</v>
      </c>
    </row>
    <row r="5" spans="1:13">
      <c r="J5" s="95"/>
      <c r="K5" s="95"/>
      <c r="L5" s="95"/>
      <c r="M5" s="24"/>
    </row>
    <row r="8" spans="1:13">
      <c r="C8" s="96"/>
      <c r="F8" s="96"/>
      <c r="H8" s="91"/>
    </row>
    <row r="9" spans="1:13">
      <c r="B9" s="97" t="s">
        <v>35</v>
      </c>
      <c r="C9" s="98"/>
      <c r="D9" s="84"/>
      <c r="E9" s="99" t="s">
        <v>19</v>
      </c>
      <c r="F9" s="100"/>
      <c r="G9" s="130"/>
      <c r="H9" s="101"/>
    </row>
    <row r="10" spans="1:13">
      <c r="B10" s="102"/>
      <c r="C10" s="103"/>
      <c r="D10" s="83"/>
      <c r="E10" s="102"/>
      <c r="F10" s="103"/>
      <c r="G10" s="131"/>
      <c r="H10" s="104"/>
    </row>
    <row r="11" spans="1:13">
      <c r="A11" s="24"/>
      <c r="B11" s="46" t="s">
        <v>5</v>
      </c>
      <c r="C11" s="105"/>
      <c r="D11" s="83"/>
      <c r="E11" s="106" t="s">
        <v>63</v>
      </c>
      <c r="F11" s="107"/>
      <c r="G11" s="131"/>
      <c r="H11" s="104"/>
    </row>
    <row r="12" spans="1:13">
      <c r="B12" s="14" t="s">
        <v>36</v>
      </c>
      <c r="C12" s="96">
        <f>'All Periods'!C12</f>
        <v>100000</v>
      </c>
      <c r="E12" s="82" t="str">
        <f>IF('All Periods'!E12="","",'All Periods'!E12)</f>
        <v>הלוואות - דיסקונט</v>
      </c>
      <c r="F12" s="96">
        <f>SUMIFS(FlatDataset[Amount (ILS)],FlatDataset[Payment method],E12,FlatDataset[Date],"&gt;="&amp;C$3,FlatDataset[Date],"&lt;="&amp;$C$4)</f>
        <v>11000</v>
      </c>
      <c r="H12" s="91"/>
    </row>
    <row r="13" spans="1:13">
      <c r="B13" s="15" t="s">
        <v>38</v>
      </c>
      <c r="C13" s="96">
        <f>'All Periods'!C13</f>
        <v>-50000</v>
      </c>
      <c r="E13" s="82" t="str">
        <f>IF('All Periods'!E13="","",'All Periods'!E13)</f>
        <v>צ'ק - דיסקונט</v>
      </c>
      <c r="F13" s="96">
        <f>SUMIFS(FlatDataset[Amount (ILS)],FlatDataset[Payment method],E13,FlatDataset[Date],"&gt;="&amp;C$3,FlatDataset[Date],"&lt;="&amp;$C$4)</f>
        <v>4500</v>
      </c>
      <c r="H13" s="91"/>
    </row>
    <row r="14" spans="1:13">
      <c r="B14" s="76"/>
      <c r="C14" s="103"/>
      <c r="E14" s="82" t="str">
        <f>IF('All Periods'!E14="","",'All Periods'!E14)</f>
        <v/>
      </c>
      <c r="F14" s="96">
        <f>SUMIFS(FlatDataset[Amount (ILS)],FlatDataset[Payment method],E14,FlatDataset[Date],"&gt;="&amp;C$3,FlatDataset[Date],"&lt;="&amp;$C$4)</f>
        <v>0</v>
      </c>
      <c r="H14" s="91"/>
    </row>
    <row r="15" spans="1:13">
      <c r="B15" s="76" t="s">
        <v>73</v>
      </c>
      <c r="C15" s="103">
        <f>'All Periods'!C15</f>
        <v>-5000</v>
      </c>
      <c r="E15" s="82" t="str">
        <f>IF('All Periods'!E15="","",'All Periods'!E15)</f>
        <v/>
      </c>
      <c r="F15" s="96">
        <f>SUMIFS(FlatDataset[Amount (ILS)],FlatDataset[Payment method],E15,FlatDataset[Date],"&gt;="&amp;C$3,FlatDataset[Date],"&lt;="&amp;$C$4)</f>
        <v>0</v>
      </c>
      <c r="H15" s="91"/>
    </row>
    <row r="16" spans="1:13">
      <c r="B16" s="76"/>
      <c r="C16" s="108"/>
      <c r="E16" s="82" t="str">
        <f>IF('All Periods'!E16="","",'All Periods'!E16)</f>
        <v/>
      </c>
      <c r="F16" s="96">
        <f>SUMIFS(FlatDataset[Amount (ILS)],FlatDataset[Payment method],E16,FlatDataset[Date],"&gt;="&amp;C$3,FlatDataset[Date],"&lt;="&amp;$C$4)</f>
        <v>0</v>
      </c>
      <c r="H16" s="91"/>
    </row>
    <row r="17" spans="2:12">
      <c r="E17" s="82" t="str">
        <f>IF('All Periods'!E17="","",'All Periods'!E17)</f>
        <v/>
      </c>
      <c r="F17" s="96">
        <f>SUMIFS(FlatDataset[Amount (ILS)],FlatDataset[Payment method],E17,FlatDataset[Date],"&gt;="&amp;C$3,FlatDataset[Date],"&lt;="&amp;$C$4)</f>
        <v>0</v>
      </c>
      <c r="H17" s="91"/>
    </row>
    <row r="18" spans="2:12" s="102" customFormat="1">
      <c r="B18" s="76" t="str">
        <f>'All Periods'!B18</f>
        <v>הזרמה 1</v>
      </c>
      <c r="C18" s="62">
        <f>'All Periods'!C18</f>
        <v>50000</v>
      </c>
      <c r="D18" s="83"/>
      <c r="E18" s="82" t="str">
        <f>IF('All Periods'!E18="","",'All Periods'!E18)</f>
        <v/>
      </c>
      <c r="F18" s="96">
        <f>SUMIFS(FlatDataset[Amount (ILS)],FlatDataset[Payment method],E18,FlatDataset[Date],"&gt;="&amp;C$3,FlatDataset[Date],"&lt;="&amp;$C$4)</f>
        <v>0</v>
      </c>
      <c r="G18" s="131"/>
      <c r="H18" s="104"/>
      <c r="I18" s="94"/>
      <c r="J18" s="83"/>
      <c r="K18" s="83"/>
      <c r="L18" s="83"/>
    </row>
    <row r="19" spans="2:12" s="102" customFormat="1">
      <c r="D19" s="83"/>
      <c r="E19" s="82" t="str">
        <f>IF('All Periods'!E19="","",'All Periods'!E19)</f>
        <v/>
      </c>
      <c r="F19" s="96">
        <f>SUMIFS(FlatDataset[Amount (ILS)],FlatDataset[Payment method],E19,FlatDataset[Date],"&gt;="&amp;C$3,FlatDataset[Date],"&lt;="&amp;$C$4)</f>
        <v>0</v>
      </c>
      <c r="G19" s="131"/>
      <c r="H19" s="104"/>
      <c r="I19" s="94"/>
      <c r="J19" s="83"/>
      <c r="K19" s="83"/>
      <c r="L19" s="83"/>
    </row>
    <row r="20" spans="2:12">
      <c r="E20" s="82" t="str">
        <f>IF('All Periods'!E20="","",'All Periods'!E20)</f>
        <v/>
      </c>
      <c r="F20" s="96">
        <f>SUMIFS(FlatDataset[Amount (ILS)],FlatDataset[Payment method],E20,FlatDataset[Date],"&gt;="&amp;C$3,FlatDataset[Date],"&lt;="&amp;$C$4)</f>
        <v>0</v>
      </c>
      <c r="H20" s="91"/>
    </row>
    <row r="21" spans="2:12">
      <c r="E21" s="82" t="str">
        <f>IF('All Periods'!E21="","",'All Periods'!E21)</f>
        <v/>
      </c>
      <c r="F21" s="96">
        <f>SUMIFS(FlatDataset[Amount (ILS)],FlatDataset[Payment method],E21,FlatDataset[Date],"&gt;="&amp;C$3,FlatDataset[Date],"&lt;="&amp;$C$4)</f>
        <v>0</v>
      </c>
      <c r="H21" s="91"/>
    </row>
    <row r="22" spans="2:12">
      <c r="E22" s="82" t="str">
        <f>IF('All Periods'!E22="","",'All Periods'!E22)</f>
        <v/>
      </c>
      <c r="F22" s="96">
        <f>SUMIFS(FlatDataset[Amount (ILS)],FlatDataset[Payment method],E22,FlatDataset[Date],"&gt;="&amp;C$3,FlatDataset[Date],"&lt;="&amp;$C$4)</f>
        <v>0</v>
      </c>
      <c r="H22" s="91"/>
    </row>
    <row r="23" spans="2:12" ht="15.75" thickBot="1">
      <c r="B23" s="112" t="s">
        <v>41</v>
      </c>
      <c r="C23" s="113">
        <f>SUM(C12:C22)-SUMIFS(C12:C22,D12:D22,"x")</f>
        <v>95000</v>
      </c>
      <c r="E23" s="112" t="s">
        <v>65</v>
      </c>
      <c r="F23" s="113">
        <f>SUM(F12:F22)-SUMIFS(F12:F22,G12:G22,"x")</f>
        <v>15500</v>
      </c>
      <c r="H23" s="91"/>
    </row>
    <row r="24" spans="2:12">
      <c r="H24" s="91"/>
    </row>
    <row r="25" spans="2:12">
      <c r="B25" s="106" t="s">
        <v>32</v>
      </c>
      <c r="C25" s="107"/>
      <c r="E25" s="106" t="s">
        <v>64</v>
      </c>
      <c r="F25" s="107"/>
      <c r="H25" s="91"/>
    </row>
    <row r="26" spans="2:12">
      <c r="B26" s="14" t="s">
        <v>36</v>
      </c>
      <c r="C26" s="103">
        <f>'All Periods'!C27</f>
        <v>100000</v>
      </c>
      <c r="E26" s="82" t="str">
        <f>IF('All Periods'!E27="","",'All Periods'!E27)</f>
        <v>הלוואות - מזרחי</v>
      </c>
      <c r="F26" s="96">
        <f>SUMIFS(FlatDataset[Amount (ILS)],FlatDataset[Payment method],E26,FlatDataset[Date],"&gt;="&amp;C$3,FlatDataset[Date],"&lt;="&amp;$C$4)</f>
        <v>5000</v>
      </c>
      <c r="H26" s="91"/>
    </row>
    <row r="27" spans="2:12">
      <c r="B27" s="15" t="s">
        <v>38</v>
      </c>
      <c r="C27" s="103">
        <f>'All Periods'!C28</f>
        <v>-50000</v>
      </c>
      <c r="E27" s="82" t="str">
        <f>IF('All Periods'!E28="","",'All Periods'!E28)</f>
        <v>צ'ק - מזרחי</v>
      </c>
      <c r="F27" s="96">
        <f>SUMIFS(FlatDataset[Amount (ILS)],FlatDataset[Payment method],E27,FlatDataset[Date],"&gt;="&amp;C$3,FlatDataset[Date],"&lt;="&amp;$C$4)</f>
        <v>6000</v>
      </c>
      <c r="H27" s="91"/>
    </row>
    <row r="28" spans="2:12">
      <c r="B28" s="76" t="s">
        <v>73</v>
      </c>
      <c r="C28" s="103">
        <f>'All Periods'!C29</f>
        <v>-2000</v>
      </c>
      <c r="E28" s="82" t="str">
        <f>IF('All Periods'!E29="","",'All Periods'!E29)</f>
        <v>הוראות קבע - מזרחי</v>
      </c>
      <c r="F28" s="96">
        <f>SUMIFS(FlatDataset[Amount (ILS)],FlatDataset[Payment method],E28,FlatDataset[Date],"&gt;="&amp;C$3,FlatDataset[Date],"&lt;="&amp;$C$4)</f>
        <v>2000</v>
      </c>
      <c r="H28" s="91"/>
    </row>
    <row r="29" spans="2:12">
      <c r="B29" s="76"/>
      <c r="C29" s="103"/>
      <c r="E29" s="82" t="str">
        <f>IF('All Periods'!E30="","",'All Periods'!E30)</f>
        <v/>
      </c>
      <c r="F29" s="96">
        <f>SUMIFS(FlatDataset[Amount (ILS)],FlatDataset[Payment method],E29,FlatDataset[Date],"&gt;="&amp;C$3,FlatDataset[Date],"&lt;="&amp;$C$4)</f>
        <v>0</v>
      </c>
      <c r="H29" s="91"/>
    </row>
    <row r="30" spans="2:12">
      <c r="C30" s="103"/>
      <c r="E30" s="82" t="str">
        <f>IF('All Periods'!E31="","",'All Periods'!E31)</f>
        <v/>
      </c>
      <c r="F30" s="96">
        <f>SUMIFS(FlatDataset[Amount (ILS)],FlatDataset[Payment method],E30,FlatDataset[Date],"&gt;="&amp;C$3,FlatDataset[Date],"&lt;="&amp;$C$4)</f>
        <v>0</v>
      </c>
      <c r="H30" s="91"/>
    </row>
    <row r="31" spans="2:12" ht="15.75" thickBot="1">
      <c r="B31" s="112" t="s">
        <v>39</v>
      </c>
      <c r="C31" s="113">
        <f>SUM(C26:C30)</f>
        <v>48000</v>
      </c>
      <c r="E31" s="112" t="s">
        <v>65</v>
      </c>
      <c r="F31" s="113">
        <f>SUM(F26:F30)-SUMIFS(F26:F30,G26:G30,"x")</f>
        <v>13000</v>
      </c>
      <c r="H31" s="91"/>
    </row>
    <row r="32" spans="2:12">
      <c r="H32" s="91"/>
    </row>
    <row r="33" spans="2:8" ht="15.75" thickBot="1">
      <c r="B33" s="115" t="s">
        <v>66</v>
      </c>
      <c r="C33" s="116">
        <f>SUM(C31,C23)-SUM(F31,F23)</f>
        <v>114500</v>
      </c>
      <c r="H33" s="91"/>
    </row>
    <row r="34" spans="2:8" ht="15.75" thickTop="1">
      <c r="H34" s="91"/>
    </row>
    <row r="35" spans="2:8">
      <c r="H35" s="91"/>
    </row>
    <row r="36" spans="2:8">
      <c r="B36" s="145"/>
      <c r="C36" s="62"/>
      <c r="H36" s="91"/>
    </row>
    <row r="37" spans="2:8">
      <c r="B37" s="76"/>
      <c r="C37" s="62"/>
      <c r="E37" s="117" t="s">
        <v>37</v>
      </c>
      <c r="F37" s="96"/>
      <c r="H37" s="91"/>
    </row>
    <row r="38" spans="2:8">
      <c r="B38" s="76"/>
      <c r="C38" s="62"/>
      <c r="E38" s="82" t="str">
        <f>IF('All Periods'!E39="","",'All Periods'!E39)</f>
        <v>משכורות</v>
      </c>
      <c r="F38" s="96">
        <f>SUMIFS(FlatDataset[Amount (ILS)],FlatDataset[Name],E38,FlatDataset[Date],"&gt;="&amp;C$3,FlatDataset[Date],"&lt;="&amp;C$4)</f>
        <v>100000</v>
      </c>
      <c r="G38" s="128">
        <f>'All Periods'!G39</f>
        <v>0</v>
      </c>
      <c r="H38" s="104"/>
    </row>
    <row r="39" spans="2:8">
      <c r="B39" s="5"/>
      <c r="C39" s="133"/>
      <c r="E39" s="82" t="str">
        <f>IF('All Periods'!E40="","",'All Periods'!E40)</f>
        <v>ביטוח לאומי</v>
      </c>
      <c r="F39" s="96">
        <f>SUMIFS(FlatDataset[Amount (ILS)],FlatDataset[Name],E39,FlatDataset[Date],"&gt;="&amp;C$3,FlatDataset[Date],"&lt;="&amp;C$4)</f>
        <v>20000</v>
      </c>
      <c r="G39" s="128">
        <f>'All Periods'!G40</f>
        <v>0</v>
      </c>
      <c r="H39" s="104"/>
    </row>
    <row r="40" spans="2:8">
      <c r="E40" s="82" t="str">
        <f>IF('All Periods'!E41="","",'All Periods'!E41)</f>
        <v>מס הכנסה - ניכוי במקור משכורות</v>
      </c>
      <c r="F40" s="96">
        <f>SUMIFS(FlatDataset[Amount (ILS)],FlatDataset[Name],E40,FlatDataset[Date],"&gt;="&amp;C$3,FlatDataset[Date],"&lt;="&amp;C$4)</f>
        <v>20000</v>
      </c>
      <c r="G40" s="128">
        <f>'All Periods'!G41</f>
        <v>0</v>
      </c>
      <c r="H40" s="104"/>
    </row>
    <row r="41" spans="2:8">
      <c r="B41" s="15"/>
      <c r="C41" s="96"/>
      <c r="E41" s="82" t="str">
        <f>IF('All Periods'!E42="","",'All Periods'!E42)</f>
        <v>קופות פנסיה</v>
      </c>
      <c r="F41" s="96">
        <f>SUMIFS(FlatDataset[Amount (ILS)],FlatDataset[Name],E41,FlatDataset[Date],"&gt;="&amp;C$3,FlatDataset[Date],"&lt;="&amp;C$4)</f>
        <v>30000</v>
      </c>
      <c r="G41" s="128">
        <f>'All Periods'!G42</f>
        <v>0</v>
      </c>
      <c r="H41" s="104"/>
    </row>
    <row r="42" spans="2:8" ht="15.75" thickBot="1">
      <c r="B42" s="120" t="s">
        <v>61</v>
      </c>
      <c r="C42" s="121">
        <f>SUM(C31,C23)</f>
        <v>143000</v>
      </c>
      <c r="E42" s="82" t="str">
        <f>IF('All Periods'!E43="","",'All Periods'!E43)</f>
        <v>מעמ ישראל</v>
      </c>
      <c r="F42" s="96">
        <f>SUMIFS(FlatDataset[Amount (ILS)],FlatDataset[Name],E42,FlatDataset[Date],"&gt;="&amp;C$3,FlatDataset[Date],"&lt;="&amp;C$4)</f>
        <v>10000</v>
      </c>
      <c r="G42" s="128">
        <f>'All Periods'!G43</f>
        <v>0</v>
      </c>
      <c r="H42" s="104"/>
    </row>
    <row r="43" spans="2:8">
      <c r="B43" s="122"/>
      <c r="E43" s="82" t="str">
        <f>IF('All Periods'!E44="","",'All Periods'!E44)</f>
        <v>משכורות - אירופה</v>
      </c>
      <c r="F43" s="96">
        <f>SUMIFS(FlatDataset[Amount (ILS)],FlatDataset[Name],E43,FlatDataset[Date],"&gt;="&amp;C$3,FlatDataset[Date],"&lt;="&amp;C$4)</f>
        <v>21850</v>
      </c>
      <c r="G43" s="128">
        <f>'All Periods'!G44</f>
        <v>0</v>
      </c>
      <c r="H43" s="104"/>
    </row>
    <row r="44" spans="2:8">
      <c r="B44" s="14" t="s">
        <v>104</v>
      </c>
      <c r="C44" s="108">
        <f>SUMIFS('צ''קים בקופה'!C:C,'צ''קים בקופה'!E:E,"&lt;="&amp;end_date2+183)</f>
        <v>0</v>
      </c>
      <c r="E44" s="82" t="str">
        <f>IF('All Periods'!E45="","",'All Periods'!E45)</f>
        <v/>
      </c>
      <c r="F44" s="96">
        <f>SUMIFS(FlatDataset[Amount (ILS)],FlatDataset[Name],E44,FlatDataset[Date],"&gt;="&amp;C$3,FlatDataset[Date],"&lt;="&amp;C$4)</f>
        <v>0</v>
      </c>
      <c r="G44" s="128">
        <f>'All Periods'!G45</f>
        <v>0</v>
      </c>
      <c r="H44" s="104"/>
    </row>
    <row r="45" spans="2:8">
      <c r="B45" s="138" t="s">
        <v>78</v>
      </c>
      <c r="C45" s="109">
        <v>100000</v>
      </c>
      <c r="E45" s="82"/>
      <c r="F45" s="96">
        <f>SUMIFS(FlatDataset[Amount (ILS)],FlatDataset[Name],E45,FlatDataset[Date],"&gt;="&amp;C$3,FlatDataset[Date],"&lt;="&amp;C$4)</f>
        <v>0</v>
      </c>
      <c r="H45" s="91"/>
    </row>
    <row r="46" spans="2:8">
      <c r="B46" s="26"/>
      <c r="C46" s="62"/>
      <c r="E46" s="124" t="s">
        <v>79</v>
      </c>
      <c r="F46" s="126"/>
      <c r="G46" s="131"/>
      <c r="H46" s="91"/>
    </row>
    <row r="47" spans="2:8">
      <c r="E47" s="82" t="str">
        <f>IF('All Periods'!E48="","",'All Periods'!E48)</f>
        <v>ספק א</v>
      </c>
      <c r="F47" s="96">
        <f>SUMIFS(FlatDataset[Amount (ILS)],FlatDataset[Name],E47,FlatDataset[Date],"&gt;="&amp;C$3,FlatDataset[Date],"&lt;="&amp;C$4)</f>
        <v>5000</v>
      </c>
      <c r="G47" s="131">
        <f>'All Periods'!G48</f>
        <v>0</v>
      </c>
      <c r="H47" s="91"/>
    </row>
    <row r="48" spans="2:8">
      <c r="E48" s="82" t="str">
        <f>IF('All Periods'!E49="","",'All Periods'!E49)</f>
        <v>ספק ב</v>
      </c>
      <c r="F48" s="96">
        <f>SUMIFS(FlatDataset[Amount (ILS)],FlatDataset[Name],E48,FlatDataset[Date],"&gt;="&amp;C$3,FlatDataset[Date],"&lt;="&amp;C$4)</f>
        <v>3000</v>
      </c>
      <c r="G48" s="131">
        <f>'All Periods'!G49</f>
        <v>0</v>
      </c>
      <c r="H48" s="91"/>
    </row>
    <row r="49" spans="2:8">
      <c r="B49" s="140"/>
      <c r="C49" s="141"/>
      <c r="E49" s="82" t="str">
        <f>IF('All Periods'!E50="","",'All Periods'!E50)</f>
        <v>ספק ג</v>
      </c>
      <c r="F49" s="96">
        <f>SUMIFS(FlatDataset[Amount (ILS)],FlatDataset[Name],E49,FlatDataset[Date],"&gt;="&amp;C$3,FlatDataset[Date],"&lt;="&amp;C$4)</f>
        <v>13110</v>
      </c>
      <c r="G49" s="131">
        <f>'All Periods'!G50</f>
        <v>0</v>
      </c>
      <c r="H49" s="91"/>
    </row>
    <row r="50" spans="2:8">
      <c r="B50" s="140"/>
      <c r="C50" s="142"/>
      <c r="E50" s="82" t="str">
        <f>IF('All Periods'!E51="","",'All Periods'!E51)</f>
        <v>ספק ד</v>
      </c>
      <c r="F50" s="96">
        <f>SUMIFS(FlatDataset[Amount (ILS)],FlatDataset[Name],E50,FlatDataset[Date],"&gt;="&amp;C$3,FlatDataset[Date],"&lt;="&amp;C$4)</f>
        <v>0</v>
      </c>
      <c r="G50" s="131">
        <f>'All Periods'!G51</f>
        <v>0</v>
      </c>
      <c r="H50" s="91"/>
    </row>
    <row r="51" spans="2:8">
      <c r="B51" s="143"/>
      <c r="C51" s="141"/>
      <c r="E51" s="82" t="str">
        <f>IF('All Periods'!E52="","",'All Periods'!E52)</f>
        <v/>
      </c>
      <c r="F51" s="96">
        <f>SUMIFS(FlatDataset[Amount (ILS)],FlatDataset[Name],E51,FlatDataset[Date],"&gt;="&amp;C$3,FlatDataset[Date],"&lt;="&amp;C$4)</f>
        <v>0</v>
      </c>
      <c r="G51" s="131">
        <f>'All Periods'!G52</f>
        <v>0</v>
      </c>
      <c r="H51" s="91"/>
    </row>
    <row r="52" spans="2:8">
      <c r="E52" s="82" t="str">
        <f>IF('All Periods'!E53="","",'All Periods'!E53)</f>
        <v/>
      </c>
      <c r="F52" s="96">
        <f>SUMIFS(FlatDataset[Amount (ILS)],FlatDataset[Name],E52,FlatDataset[Date],"&gt;="&amp;C$3,FlatDataset[Date],"&lt;="&amp;C$4)</f>
        <v>0</v>
      </c>
      <c r="G52" s="131">
        <f>'All Periods'!G53</f>
        <v>0</v>
      </c>
      <c r="H52" s="91"/>
    </row>
    <row r="53" spans="2:8">
      <c r="B53" s="26"/>
      <c r="C53" s="62"/>
      <c r="E53" s="82" t="str">
        <f>IF('All Periods'!E54="","",'All Periods'!E54)</f>
        <v/>
      </c>
      <c r="F53" s="96">
        <f>SUMIFS(FlatDataset[Amount (ILS)],FlatDataset[Name],E53,FlatDataset[Date],"&gt;="&amp;C$3,FlatDataset[Date],"&lt;="&amp;C$4)</f>
        <v>0</v>
      </c>
      <c r="G53" s="131">
        <f>'All Periods'!G54</f>
        <v>0</v>
      </c>
      <c r="H53" s="91"/>
    </row>
    <row r="54" spans="2:8">
      <c r="C54" s="52"/>
      <c r="E54" s="82" t="str">
        <f>IF('All Periods'!E55="","",'All Periods'!E55)</f>
        <v/>
      </c>
      <c r="F54" s="96">
        <f>SUMIFS(FlatDataset[Amount (ILS)],FlatDataset[Name],E54,FlatDataset[Date],"&gt;="&amp;C$3,FlatDataset[Date],"&lt;="&amp;C$4)</f>
        <v>0</v>
      </c>
      <c r="G54" s="131">
        <f>'All Periods'!G55</f>
        <v>0</v>
      </c>
      <c r="H54" s="91"/>
    </row>
    <row r="55" spans="2:8">
      <c r="E55" s="82" t="str">
        <f>IF('All Periods'!E56="","",'All Periods'!E56)</f>
        <v/>
      </c>
      <c r="F55" s="96">
        <f>SUMIFS(FlatDataset[Amount (ILS)],FlatDataset[Name],E55,FlatDataset[Date],"&gt;="&amp;C$3,FlatDataset[Date],"&lt;="&amp;C$4)</f>
        <v>0</v>
      </c>
      <c r="G55" s="131">
        <f>'All Periods'!G56</f>
        <v>0</v>
      </c>
      <c r="H55" s="91"/>
    </row>
    <row r="56" spans="2:8">
      <c r="E56" s="82" t="str">
        <f>IF('All Periods'!E57="","",'All Periods'!E57)</f>
        <v/>
      </c>
      <c r="F56" s="96">
        <f>SUMIFS(FlatDataset[Amount (ILS)],FlatDataset[Name],E56,FlatDataset[Date],"&gt;="&amp;C$3,FlatDataset[Date],"&lt;="&amp;C$4)</f>
        <v>0</v>
      </c>
      <c r="G56" s="131">
        <f>'All Periods'!G57</f>
        <v>0</v>
      </c>
      <c r="H56" s="91"/>
    </row>
    <row r="57" spans="2:8">
      <c r="E57" s="82" t="str">
        <f>IF('All Periods'!E58="","",'All Periods'!E58)</f>
        <v/>
      </c>
      <c r="F57" s="96">
        <f>SUMIFS(FlatDataset[Amount (ILS)],FlatDataset[Name],E57,FlatDataset[Date],"&gt;="&amp;C$3,FlatDataset[Date],"&lt;="&amp;C$4)</f>
        <v>0</v>
      </c>
      <c r="G57" s="131">
        <f>'All Periods'!G58</f>
        <v>0</v>
      </c>
      <c r="H57" s="91"/>
    </row>
    <row r="58" spans="2:8">
      <c r="E58" s="82" t="str">
        <f>IF('All Periods'!E59="","",'All Periods'!E59)</f>
        <v/>
      </c>
      <c r="F58" s="96">
        <f>SUMIFS(FlatDataset[Amount (ILS)],FlatDataset[Name],E58,FlatDataset[Date],"&gt;="&amp;C$3,FlatDataset[Date],"&lt;="&amp;C$4)</f>
        <v>0</v>
      </c>
      <c r="G58" s="131">
        <f>'All Periods'!G59</f>
        <v>0</v>
      </c>
      <c r="H58" s="91"/>
    </row>
    <row r="59" spans="2:8">
      <c r="H59" s="91"/>
    </row>
    <row r="60" spans="2:8">
      <c r="E60" s="82"/>
      <c r="F60" s="96"/>
      <c r="H60" s="91"/>
    </row>
    <row r="61" spans="2:8">
      <c r="E61" s="124" t="s">
        <v>21</v>
      </c>
      <c r="F61" s="96"/>
      <c r="H61" s="91"/>
    </row>
    <row r="62" spans="2:8">
      <c r="E62" s="82" t="str">
        <f>IF('All Periods'!E62="","",'All Periods'!E62)</f>
        <v>חוב לספק א</v>
      </c>
      <c r="F62" s="96">
        <f>SUMIFS(FlatDataset[Amount (ILS)],FlatDataset[Name],E62,FlatDataset[Date],"&gt;="&amp;C$3,FlatDataset[Date],"&lt;="&amp;C$4)</f>
        <v>10000</v>
      </c>
      <c r="G62" s="128">
        <f>'All Periods'!G62</f>
        <v>0</v>
      </c>
      <c r="H62" s="91"/>
    </row>
    <row r="63" spans="2:8">
      <c r="E63" s="82" t="str">
        <f>IF('All Periods'!E63="","",'All Periods'!E63)</f>
        <v>חוב לספק ב</v>
      </c>
      <c r="F63" s="96">
        <f>SUMIFS(FlatDataset[Amount (ILS)],FlatDataset[Name],E63,FlatDataset[Date],"&gt;="&amp;C$3,FlatDataset[Date],"&lt;="&amp;C$4)</f>
        <v>8740</v>
      </c>
      <c r="G63" s="128">
        <f>'All Periods'!G63</f>
        <v>0</v>
      </c>
      <c r="H63" s="91"/>
    </row>
    <row r="64" spans="2:8">
      <c r="E64" s="82" t="str">
        <f>IF('All Periods'!E64="","",'All Periods'!E64)</f>
        <v>חוב לספק ג</v>
      </c>
      <c r="F64" s="96">
        <f>SUMIFS(FlatDataset[Amount (ILS)],FlatDataset[Name],E64,FlatDataset[Date],"&gt;="&amp;C$3,FlatDataset[Date],"&lt;="&amp;C$4)</f>
        <v>0</v>
      </c>
      <c r="G64" s="128">
        <f>'All Periods'!G64</f>
        <v>0</v>
      </c>
      <c r="H64" s="91"/>
    </row>
    <row r="65" spans="5:8">
      <c r="E65" s="82" t="str">
        <f>IF('All Periods'!E65="","",'All Periods'!E65)</f>
        <v>חוב לספק ד</v>
      </c>
      <c r="F65" s="96">
        <f>SUMIFS(FlatDataset[Amount (ILS)],FlatDataset[Name],E65,FlatDataset[Date],"&gt;="&amp;C$3,FlatDataset[Date],"&lt;="&amp;C$4)</f>
        <v>50000</v>
      </c>
      <c r="G65" s="128">
        <f>'All Periods'!G65</f>
        <v>0</v>
      </c>
      <c r="H65" s="91"/>
    </row>
    <row r="66" spans="5:8">
      <c r="E66" s="82" t="str">
        <f>IF('All Periods'!E66="","",'All Periods'!E66)</f>
        <v/>
      </c>
      <c r="F66" s="96">
        <f>SUMIFS(FlatDataset[Amount (ILS)],FlatDataset[Name],E66,FlatDataset[Date],"&gt;="&amp;C$3,FlatDataset[Date],"&lt;="&amp;C$4)</f>
        <v>0</v>
      </c>
      <c r="G66" s="128">
        <f>'All Periods'!G66</f>
        <v>0</v>
      </c>
      <c r="H66" s="91"/>
    </row>
    <row r="67" spans="5:8">
      <c r="E67" s="82" t="str">
        <f>IF('All Periods'!E67="","",'All Periods'!E67)</f>
        <v/>
      </c>
      <c r="F67" s="96">
        <f>SUMIFS(FlatDataset[Amount (ILS)],FlatDataset[Name],E67,FlatDataset[Date],"&gt;="&amp;C$3,FlatDataset[Date],"&lt;="&amp;C$4)</f>
        <v>0</v>
      </c>
      <c r="G67" s="128">
        <f>'All Periods'!G67</f>
        <v>0</v>
      </c>
      <c r="H67" s="91"/>
    </row>
    <row r="68" spans="5:8">
      <c r="E68" s="82" t="str">
        <f>IF('All Periods'!E68="","",'All Periods'!E68)</f>
        <v/>
      </c>
      <c r="F68" s="96">
        <f>SUMIFS(FlatDataset[Amount (ILS)],FlatDataset[Name],E68,FlatDataset[Date],"&gt;="&amp;C$3,FlatDataset[Date],"&lt;="&amp;C$4)</f>
        <v>0</v>
      </c>
      <c r="G68" s="128">
        <f>'All Periods'!G68</f>
        <v>0</v>
      </c>
      <c r="H68" s="91"/>
    </row>
    <row r="69" spans="5:8">
      <c r="E69" s="82" t="str">
        <f>IF('All Periods'!E69="","",'All Periods'!E69)</f>
        <v/>
      </c>
      <c r="F69" s="96">
        <f>SUMIFS(FlatDataset[Amount (ILS)],FlatDataset[Name],E69,FlatDataset[Date],"&gt;="&amp;C$3,FlatDataset[Date],"&lt;="&amp;C$4)</f>
        <v>0</v>
      </c>
      <c r="G69" s="128">
        <f>'All Periods'!G69</f>
        <v>0</v>
      </c>
      <c r="H69" s="91"/>
    </row>
    <row r="70" spans="5:8">
      <c r="E70" s="82" t="str">
        <f>IF('All Periods'!E70="","",'All Periods'!E70)</f>
        <v/>
      </c>
      <c r="F70" s="96">
        <f>SUMIFS(FlatDataset[Amount (ILS)],FlatDataset[Name],E70,FlatDataset[Date],"&gt;="&amp;C$3,FlatDataset[Date],"&lt;="&amp;C$4)</f>
        <v>0</v>
      </c>
      <c r="G70" s="128">
        <f>'All Periods'!G70</f>
        <v>0</v>
      </c>
      <c r="H70" s="91"/>
    </row>
    <row r="71" spans="5:8">
      <c r="E71" s="82" t="str">
        <f>IF('All Periods'!E71="","",'All Periods'!E71)</f>
        <v/>
      </c>
      <c r="F71" s="96">
        <f>SUMIFS(FlatDataset[Amount (ILS)],FlatDataset[Name],E71,FlatDataset[Date],"&gt;="&amp;C$3,FlatDataset[Date],"&lt;="&amp;C$4)</f>
        <v>0</v>
      </c>
      <c r="G71" s="128">
        <f>'All Periods'!G71</f>
        <v>0</v>
      </c>
      <c r="H71" s="91"/>
    </row>
    <row r="72" spans="5:8">
      <c r="E72" s="82" t="str">
        <f>IF('All Periods'!E72="","",'All Periods'!E72)</f>
        <v/>
      </c>
      <c r="F72" s="96">
        <f>SUMIFS(FlatDataset[Amount (ILS)],FlatDataset[Name],E72,FlatDataset[Date],"&gt;="&amp;C$3,FlatDataset[Date],"&lt;="&amp;C$4)</f>
        <v>0</v>
      </c>
      <c r="G72" s="128">
        <f>'All Periods'!G72</f>
        <v>0</v>
      </c>
      <c r="H72" s="91"/>
    </row>
    <row r="73" spans="5:8">
      <c r="E73" s="82" t="str">
        <f>IF('All Periods'!E73="","",'All Periods'!E73)</f>
        <v/>
      </c>
      <c r="F73" s="96">
        <f>SUMIFS(FlatDataset[Amount (ILS)],FlatDataset[Name],E73,FlatDataset[Date],"&gt;="&amp;C$3,FlatDataset[Date],"&lt;="&amp;C$4)</f>
        <v>0</v>
      </c>
      <c r="G73" s="128">
        <f>'All Periods'!G73</f>
        <v>0</v>
      </c>
      <c r="H73" s="91"/>
    </row>
    <row r="74" spans="5:8">
      <c r="E74" s="82" t="str">
        <f>IF('All Periods'!E74="","",'All Periods'!E74)</f>
        <v/>
      </c>
      <c r="F74" s="96">
        <f>SUMIFS(FlatDataset[Amount (ILS)],FlatDataset[Name],E74,FlatDataset[Date],"&gt;="&amp;C$3,FlatDataset[Date],"&lt;="&amp;C$4)</f>
        <v>0</v>
      </c>
      <c r="G74" s="128">
        <f>'All Periods'!G74</f>
        <v>0</v>
      </c>
      <c r="H74" s="91"/>
    </row>
    <row r="75" spans="5:8">
      <c r="E75" s="82" t="str">
        <f>IF('All Periods'!E75="","",'All Periods'!E75)</f>
        <v/>
      </c>
      <c r="F75" s="96">
        <f>SUMIFS(FlatDataset[Amount (ILS)],FlatDataset[Name],E75,FlatDataset[Date],"&gt;="&amp;C$3,FlatDataset[Date],"&lt;="&amp;C$4)</f>
        <v>0</v>
      </c>
      <c r="G75" s="128">
        <f>'All Periods'!G75</f>
        <v>0</v>
      </c>
      <c r="H75" s="91"/>
    </row>
    <row r="76" spans="5:8">
      <c r="E76" s="82" t="str">
        <f>IF('All Periods'!E76="","",'All Periods'!E76)</f>
        <v/>
      </c>
      <c r="F76" s="96">
        <f>SUMIFS(FlatDataset[Amount (ILS)],FlatDataset[Name],E76,FlatDataset[Date],"&gt;="&amp;C$3,FlatDataset[Date],"&lt;="&amp;C$4)</f>
        <v>0</v>
      </c>
      <c r="G76" s="128">
        <f>'All Periods'!G76</f>
        <v>0</v>
      </c>
    </row>
    <row r="77" spans="5:8">
      <c r="E77" s="82" t="str">
        <f>IF('All Periods'!E77="","",'All Periods'!E77)</f>
        <v/>
      </c>
      <c r="F77" s="96">
        <f>SUMIFS(FlatDataset[Amount (ILS)],FlatDataset[Name],E77,FlatDataset[Date],"&gt;="&amp;C$3,FlatDataset[Date],"&lt;="&amp;C$4)</f>
        <v>0</v>
      </c>
      <c r="G77" s="128">
        <f>'All Periods'!G77</f>
        <v>0</v>
      </c>
    </row>
    <row r="78" spans="5:8">
      <c r="E78" s="82" t="str">
        <f>IF('All Periods'!E78="","",'All Periods'!E78)</f>
        <v/>
      </c>
      <c r="F78" s="96">
        <f>SUMIFS(FlatDataset[Amount (ILS)],FlatDataset[Name],E78,FlatDataset[Date],"&gt;="&amp;C$3,FlatDataset[Date],"&lt;="&amp;C$4)</f>
        <v>0</v>
      </c>
      <c r="G78" s="128">
        <f>'All Periods'!G78</f>
        <v>0</v>
      </c>
    </row>
    <row r="79" spans="5:8">
      <c r="E79" s="82" t="str">
        <f>IF('All Periods'!E79="","",'All Periods'!E79)</f>
        <v/>
      </c>
      <c r="F79" s="96">
        <f>SUMIFS(FlatDataset[Amount (ILS)],FlatDataset[Name],E79,FlatDataset[Date],"&gt;="&amp;C$3,FlatDataset[Date],"&lt;="&amp;C$4)</f>
        <v>0</v>
      </c>
      <c r="G79" s="128">
        <f>'All Periods'!G79</f>
        <v>0</v>
      </c>
      <c r="H79" s="91"/>
    </row>
    <row r="80" spans="5:8">
      <c r="E80" s="82" t="str">
        <f>IF('All Periods'!E80="","",'All Periods'!E80)</f>
        <v/>
      </c>
      <c r="F80" s="96">
        <f>SUMIFS(FlatDataset[Amount (ILS)],FlatDataset[Name],E80,FlatDataset[Date],"&gt;="&amp;C$3,FlatDataset[Date],"&lt;="&amp;C$4)</f>
        <v>0</v>
      </c>
      <c r="G80" s="128">
        <f>'All Periods'!G80</f>
        <v>0</v>
      </c>
      <c r="H80" s="91"/>
    </row>
    <row r="81" spans="2:8">
      <c r="E81" s="82" t="str">
        <f>IF('All Periods'!E81="","",'All Periods'!E81)</f>
        <v/>
      </c>
      <c r="F81" s="96">
        <f>SUMIFS(FlatDataset[Amount (ILS)],FlatDataset[Name],E81,FlatDataset[Date],"&gt;="&amp;C$3,FlatDataset[Date],"&lt;="&amp;C$4)</f>
        <v>0</v>
      </c>
      <c r="G81" s="128">
        <f>'All Periods'!G81</f>
        <v>0</v>
      </c>
      <c r="H81" s="91"/>
    </row>
    <row r="82" spans="2:8">
      <c r="E82" s="82" t="str">
        <f>IF('All Periods'!E82="","",'All Periods'!E82)</f>
        <v/>
      </c>
      <c r="F82" s="96">
        <f>SUMIFS(FlatDataset[Amount (ILS)],FlatDataset[Name],E82,FlatDataset[Date],"&gt;="&amp;C$3,FlatDataset[Date],"&lt;="&amp;C$4)</f>
        <v>0</v>
      </c>
      <c r="G82" s="128">
        <f>'All Periods'!G82</f>
        <v>0</v>
      </c>
      <c r="H82" s="91"/>
    </row>
    <row r="83" spans="2:8">
      <c r="E83" s="82" t="str">
        <f>IF('All Periods'!E83="","",'All Periods'!E83)</f>
        <v/>
      </c>
      <c r="F83" s="96">
        <f>SUMIFS(FlatDataset[Amount (ILS)],FlatDataset[Name],E83,FlatDataset[Date],"&gt;="&amp;C$3,FlatDataset[Date],"&lt;="&amp;C$4)</f>
        <v>0</v>
      </c>
      <c r="G83" s="128">
        <f>'All Periods'!G83</f>
        <v>0</v>
      </c>
      <c r="H83" s="91"/>
    </row>
    <row r="84" spans="2:8">
      <c r="B84" s="15"/>
      <c r="C84" s="108"/>
      <c r="E84" s="82" t="str">
        <f>IF('All Periods'!E84="","",'All Periods'!E84)</f>
        <v/>
      </c>
      <c r="F84" s="96">
        <f>SUMIFS(FlatDataset[Amount (ILS)],FlatDataset[Name],E84,FlatDataset[Date],"&gt;="&amp;C$3,FlatDataset[Date],"&lt;="&amp;C$4)</f>
        <v>0</v>
      </c>
      <c r="G84" s="128">
        <f>'All Periods'!G84</f>
        <v>0</v>
      </c>
      <c r="H84" s="91"/>
    </row>
    <row r="85" spans="2:8">
      <c r="B85" s="15"/>
      <c r="C85" s="108"/>
      <c r="E85" s="82" t="str">
        <f>IF('All Periods'!E85="","",'All Periods'!E85)</f>
        <v/>
      </c>
      <c r="F85" s="96">
        <f>SUMIFS(FlatDataset[Amount (ILS)],FlatDataset[Name],E85,FlatDataset[Date],"&gt;="&amp;C$3,FlatDataset[Date],"&lt;="&amp;C$4)</f>
        <v>0</v>
      </c>
      <c r="G85" s="128">
        <f>'All Periods'!G85</f>
        <v>0</v>
      </c>
      <c r="H85" s="91"/>
    </row>
    <row r="86" spans="2:8">
      <c r="B86" s="15"/>
      <c r="C86" s="15"/>
      <c r="E86" s="82" t="str">
        <f>IF('All Periods'!E86="","",'All Periods'!E86)</f>
        <v/>
      </c>
      <c r="F86" s="96">
        <f>SUMIFS(FlatDataset[Amount (ILS)],FlatDataset[Name],E86,FlatDataset[Date],"&gt;="&amp;C$3,FlatDataset[Date],"&lt;="&amp;C$4)</f>
        <v>0</v>
      </c>
      <c r="G86" s="128">
        <f>'All Periods'!G86</f>
        <v>0</v>
      </c>
      <c r="H86" s="91"/>
    </row>
    <row r="87" spans="2:8">
      <c r="B87" s="15"/>
      <c r="C87" s="62"/>
      <c r="E87" s="82" t="str">
        <f>IF('All Periods'!E87="","",'All Periods'!E87)</f>
        <v/>
      </c>
      <c r="F87" s="96">
        <f>SUMIFS(FlatDataset[Amount (ILS)],FlatDataset[Name],E87,FlatDataset[Date],"&gt;="&amp;C$3,FlatDataset[Date],"&lt;="&amp;C$4)</f>
        <v>0</v>
      </c>
      <c r="G87" s="128">
        <f>'All Periods'!G87</f>
        <v>0</v>
      </c>
      <c r="H87" s="91"/>
    </row>
    <row r="88" spans="2:8">
      <c r="B88" s="41"/>
      <c r="C88" s="125"/>
      <c r="E88" s="82" t="str">
        <f>IF('All Periods'!E88="","",'All Periods'!E88)</f>
        <v/>
      </c>
      <c r="F88" s="96">
        <f>SUMIFS(FlatDataset[Amount (ILS)],FlatDataset[Name],E88,FlatDataset[Date],"&gt;="&amp;C$3,FlatDataset[Date],"&lt;="&amp;C$4)</f>
        <v>0</v>
      </c>
      <c r="G88" s="128">
        <f>'All Periods'!G88</f>
        <v>0</v>
      </c>
      <c r="H88" s="91"/>
    </row>
    <row r="89" spans="2:8">
      <c r="C89" s="103"/>
      <c r="E89" s="82" t="str">
        <f>IF('All Periods'!E89="","",'All Periods'!E89)</f>
        <v/>
      </c>
      <c r="F89" s="96">
        <f>SUMIFS(FlatDataset[Amount (ILS)],FlatDataset[Name],E89,FlatDataset[Date],"&gt;="&amp;C$3,FlatDataset[Date],"&lt;="&amp;C$4)</f>
        <v>0</v>
      </c>
      <c r="G89" s="128">
        <f>'All Periods'!G89</f>
        <v>0</v>
      </c>
      <c r="H89" s="91"/>
    </row>
    <row r="90" spans="2:8">
      <c r="E90" s="82" t="str">
        <f>IF('All Periods'!E90="","",'All Periods'!E90)</f>
        <v/>
      </c>
      <c r="F90" s="96">
        <f>SUMIFS(FlatDataset[Amount (ILS)],FlatDataset[Name],E90,FlatDataset[Date],"&gt;="&amp;C$3,FlatDataset[Date],"&lt;="&amp;C$4)</f>
        <v>0</v>
      </c>
      <c r="G90" s="128">
        <f>'All Periods'!G90</f>
        <v>0</v>
      </c>
      <c r="H90" s="91"/>
    </row>
    <row r="91" spans="2:8">
      <c r="E91" s="82" t="str">
        <f>IF('All Periods'!E91="","",'All Periods'!E91)</f>
        <v/>
      </c>
      <c r="F91" s="96">
        <f>SUMIFS(FlatDataset[Amount (ILS)],FlatDataset[Name],E91,FlatDataset[Date],"&gt;="&amp;C$3,FlatDataset[Date],"&lt;="&amp;C$4)</f>
        <v>0</v>
      </c>
      <c r="G91" s="128">
        <f>'All Periods'!G91</f>
        <v>0</v>
      </c>
      <c r="H91" s="91"/>
    </row>
    <row r="92" spans="2:8">
      <c r="E92" s="82" t="str">
        <f>IF('All Periods'!E92="","",'All Periods'!E92)</f>
        <v/>
      </c>
      <c r="F92" s="96">
        <f>SUMIFS(FlatDataset[Amount (ILS)],FlatDataset[Name],E92,FlatDataset[Date],"&gt;="&amp;C$3,FlatDataset[Date],"&lt;="&amp;C$4)</f>
        <v>0</v>
      </c>
      <c r="G92" s="128">
        <f>'All Periods'!G92</f>
        <v>0</v>
      </c>
      <c r="H92" s="91"/>
    </row>
    <row r="93" spans="2:8">
      <c r="E93" s="82" t="str">
        <f>IF('All Periods'!E93="","",'All Periods'!E93)</f>
        <v/>
      </c>
      <c r="F93" s="96">
        <f>SUMIFS(FlatDataset[Amount (ILS)],FlatDataset[Name],E93,FlatDataset[Date],"&gt;="&amp;C$3,FlatDataset[Date],"&lt;="&amp;C$4)</f>
        <v>0</v>
      </c>
      <c r="G93" s="128">
        <f>'All Periods'!G93</f>
        <v>0</v>
      </c>
      <c r="H93" s="91"/>
    </row>
    <row r="94" spans="2:8">
      <c r="E94" s="82" t="str">
        <f>IF('All Periods'!E94="","",'All Periods'!E94)</f>
        <v/>
      </c>
      <c r="F94" s="96">
        <f>SUMIFS(FlatDataset[Amount (ILS)],FlatDataset[Name],E94,FlatDataset[Date],"&gt;="&amp;C$3,FlatDataset[Date],"&lt;="&amp;C$4)</f>
        <v>0</v>
      </c>
      <c r="G94" s="128">
        <f>'All Periods'!G94</f>
        <v>0</v>
      </c>
      <c r="H94" s="91"/>
    </row>
    <row r="95" spans="2:8">
      <c r="D95" s="81"/>
      <c r="E95" s="82" t="str">
        <f>IF('All Periods'!E95="","",'All Periods'!E95)</f>
        <v/>
      </c>
      <c r="F95" s="96">
        <f>SUMIFS(FlatDataset[Amount (ILS)],FlatDataset[Name],E95,FlatDataset[Date],"&gt;="&amp;C$3,FlatDataset[Date],"&lt;="&amp;C$4)</f>
        <v>0</v>
      </c>
      <c r="G95" s="128">
        <f>'All Periods'!G95</f>
        <v>0</v>
      </c>
      <c r="H95" s="91"/>
    </row>
    <row r="96" spans="2:8">
      <c r="C96" s="96"/>
      <c r="E96" s="82" t="str">
        <f>IF('All Periods'!E96="","",'All Periods'!E96)</f>
        <v/>
      </c>
      <c r="F96" s="96">
        <f>SUMIFS(FlatDataset[Amount (ILS)],FlatDataset[Name],E96,FlatDataset[Date],"&gt;="&amp;C$3,FlatDataset[Date],"&lt;="&amp;C$4)</f>
        <v>0</v>
      </c>
      <c r="G96" s="128">
        <f>'All Periods'!G96</f>
        <v>0</v>
      </c>
      <c r="H96" s="91"/>
    </row>
    <row r="97" spans="2:8">
      <c r="E97" s="82" t="str">
        <f>IF('All Periods'!E97="","",'All Periods'!E97)</f>
        <v/>
      </c>
      <c r="F97" s="96">
        <f>SUMIFS(FlatDataset[Amount (ILS)],FlatDataset[Name],E97,FlatDataset[Date],"&gt;="&amp;C$3,FlatDataset[Date],"&lt;="&amp;C$4)</f>
        <v>0</v>
      </c>
      <c r="G97" s="128">
        <f>'All Periods'!G97</f>
        <v>0</v>
      </c>
      <c r="H97" s="91"/>
    </row>
    <row r="98" spans="2:8">
      <c r="C98" s="96"/>
      <c r="E98" s="82" t="str">
        <f>IF('All Periods'!E98="","",'All Periods'!E98)</f>
        <v/>
      </c>
      <c r="F98" s="96">
        <f>SUMIFS(FlatDataset[Amount (ILS)],FlatDataset[Name],E98,FlatDataset[Date],"&gt;="&amp;C$3,FlatDataset[Date],"&lt;="&amp;C$4)</f>
        <v>0</v>
      </c>
      <c r="G98" s="128">
        <f>'All Periods'!G98</f>
        <v>0</v>
      </c>
      <c r="H98" s="91"/>
    </row>
    <row r="99" spans="2:8">
      <c r="C99" s="96"/>
      <c r="E99" s="82" t="str">
        <f>IF('All Periods'!E99="","",'All Periods'!E99)</f>
        <v/>
      </c>
      <c r="F99" s="96">
        <f>SUMIFS(FlatDataset[Amount (ILS)],FlatDataset[Name],E99,FlatDataset[Date],"&gt;="&amp;C$3,FlatDataset[Date],"&lt;="&amp;C$4)</f>
        <v>0</v>
      </c>
      <c r="G99" s="128">
        <f>'All Periods'!G99</f>
        <v>0</v>
      </c>
      <c r="H99" s="91"/>
    </row>
    <row r="100" spans="2:8">
      <c r="B100" s="26"/>
      <c r="C100" s="126"/>
      <c r="E100" s="82" t="str">
        <f>IF('All Periods'!E100="","",'All Periods'!E100)</f>
        <v/>
      </c>
      <c r="F100" s="96">
        <f>SUMIFS(FlatDataset[Amount (ILS)],FlatDataset[Name],E100,FlatDataset[Date],"&gt;="&amp;C$3,FlatDataset[Date],"&lt;="&amp;C$4)</f>
        <v>0</v>
      </c>
      <c r="G100" s="128">
        <f>'All Periods'!G100</f>
        <v>0</v>
      </c>
      <c r="H100" s="91"/>
    </row>
    <row r="101" spans="2:8">
      <c r="C101" s="96"/>
      <c r="E101" s="82" t="str">
        <f>IF('All Periods'!E101="","",'All Periods'!E101)</f>
        <v/>
      </c>
      <c r="F101" s="96">
        <f>SUMIFS(FlatDataset[Amount (ILS)],FlatDataset[Name],E101,FlatDataset[Date],"&gt;="&amp;C$3,FlatDataset[Date],"&lt;="&amp;C$4)</f>
        <v>0</v>
      </c>
      <c r="G101" s="128">
        <f>'All Periods'!G101</f>
        <v>0</v>
      </c>
      <c r="H101" s="91"/>
    </row>
    <row r="102" spans="2:8">
      <c r="B102" s="26"/>
      <c r="C102" s="126"/>
      <c r="E102" s="82" t="str">
        <f>IF('All Periods'!E102="","",'All Periods'!E102)</f>
        <v/>
      </c>
      <c r="F102" s="96">
        <f>SUMIFS(FlatDataset[Amount (ILS)],FlatDataset[Name],E102,FlatDataset[Date],"&gt;="&amp;C$3,FlatDataset[Date],"&lt;="&amp;C$4)</f>
        <v>0</v>
      </c>
      <c r="G102" s="128">
        <f>'All Periods'!G102</f>
        <v>0</v>
      </c>
      <c r="H102" s="91"/>
    </row>
    <row r="103" spans="2:8">
      <c r="C103" s="96"/>
      <c r="E103" s="82" t="str">
        <f>IF('All Periods'!E103="","",'All Periods'!E103)</f>
        <v/>
      </c>
      <c r="F103" s="96">
        <f>SUMIFS(FlatDataset[Amount (ILS)],FlatDataset[Name],E103,FlatDataset[Date],"&gt;="&amp;C$3,FlatDataset[Date],"&lt;="&amp;C$4)</f>
        <v>0</v>
      </c>
      <c r="G103" s="128">
        <f>'All Periods'!G103</f>
        <v>0</v>
      </c>
      <c r="H103" s="91"/>
    </row>
    <row r="104" spans="2:8">
      <c r="C104" s="96"/>
      <c r="E104" s="82" t="str">
        <f>IF('All Periods'!E104="","",'All Periods'!E104)</f>
        <v/>
      </c>
      <c r="F104" s="96">
        <f>SUMIFS(FlatDataset[Amount (ILS)],FlatDataset[Name],E104,FlatDataset[Date],"&gt;="&amp;C$3,FlatDataset[Date],"&lt;="&amp;C$4)</f>
        <v>0</v>
      </c>
      <c r="G104" s="128">
        <f>'All Periods'!G104</f>
        <v>0</v>
      </c>
    </row>
    <row r="105" spans="2:8">
      <c r="E105" s="82" t="str">
        <f>IF('All Periods'!E105="","",'All Periods'!E105)</f>
        <v/>
      </c>
      <c r="F105" s="96">
        <f>SUMIFS(FlatDataset[Amount (ILS)],FlatDataset[Name],E105,FlatDataset[Date],"&gt;="&amp;C$3,FlatDataset[Date],"&lt;="&amp;C$4)</f>
        <v>0</v>
      </c>
      <c r="G105" s="128">
        <f>'All Periods'!G105</f>
        <v>0</v>
      </c>
    </row>
    <row r="106" spans="2:8">
      <c r="E106" s="82" t="str">
        <f>IF('All Periods'!E106="","",'All Periods'!E106)</f>
        <v/>
      </c>
      <c r="F106" s="96">
        <f>SUMIFS(FlatDataset[Amount (ILS)],FlatDataset[Name],E106,FlatDataset[Date],"&gt;="&amp;C$3,FlatDataset[Date],"&lt;="&amp;C$4)</f>
        <v>0</v>
      </c>
      <c r="G106" s="128">
        <f>'All Periods'!G106</f>
        <v>0</v>
      </c>
    </row>
    <row r="107" spans="2:8">
      <c r="E107" s="82" t="str">
        <f>IF('All Periods'!E107="","",'All Periods'!E107)</f>
        <v/>
      </c>
      <c r="F107" s="96">
        <f>SUMIFS(FlatDataset[Amount (ILS)],FlatDataset[Name],E107,FlatDataset[Date],"&gt;="&amp;C$3,FlatDataset[Date],"&lt;="&amp;C$4)</f>
        <v>0</v>
      </c>
      <c r="G107" s="128">
        <f>'All Periods'!G107</f>
        <v>0</v>
      </c>
    </row>
    <row r="108" spans="2:8">
      <c r="E108" s="82" t="str">
        <f>IF('All Periods'!E108="","",'All Periods'!E108)</f>
        <v/>
      </c>
      <c r="F108" s="96">
        <f>SUMIFS(FlatDataset[Amount (ILS)],FlatDataset[Name],E108,FlatDataset[Date],"&gt;="&amp;C$3,FlatDataset[Date],"&lt;="&amp;C$4)</f>
        <v>0</v>
      </c>
      <c r="G108" s="128">
        <f>'All Periods'!G108</f>
        <v>0</v>
      </c>
    </row>
    <row r="109" spans="2:8">
      <c r="E109" s="82" t="str">
        <f>IF('All Periods'!E109="","",'All Periods'!E109)</f>
        <v/>
      </c>
      <c r="F109" s="96">
        <f>SUMIFS(FlatDataset[Amount (ILS)],FlatDataset[Name],E109,FlatDataset[Date],"&gt;="&amp;C$3,FlatDataset[Date],"&lt;="&amp;C$4)</f>
        <v>0</v>
      </c>
      <c r="G109" s="128">
        <f>'All Periods'!G109</f>
        <v>0</v>
      </c>
    </row>
    <row r="110" spans="2:8">
      <c r="E110" s="82" t="str">
        <f>IF('All Periods'!E110="","",'All Periods'!E110)</f>
        <v/>
      </c>
      <c r="F110" s="96">
        <f>SUMIFS(FlatDataset[Amount (ILS)],FlatDataset[Name],E110,FlatDataset[Date],"&gt;="&amp;C$3,FlatDataset[Date],"&lt;="&amp;C$4)</f>
        <v>0</v>
      </c>
      <c r="G110" s="128">
        <f>'All Periods'!G110</f>
        <v>0</v>
      </c>
    </row>
    <row r="111" spans="2:8">
      <c r="E111" s="82" t="str">
        <f>IF('All Periods'!E111="","",'All Periods'!E111)</f>
        <v/>
      </c>
      <c r="F111" s="96">
        <f>SUMIFS(FlatDataset[Amount (ILS)],FlatDataset[Name],E111,FlatDataset[Date],"&gt;="&amp;C$3,FlatDataset[Date],"&lt;="&amp;C$4)</f>
        <v>0</v>
      </c>
      <c r="G111" s="128">
        <f>'All Periods'!G111</f>
        <v>0</v>
      </c>
    </row>
    <row r="112" spans="2:8">
      <c r="E112" s="82" t="str">
        <f>IF('All Periods'!E112="","",'All Periods'!E112)</f>
        <v/>
      </c>
      <c r="F112" s="96">
        <f>SUMIFS(FlatDataset[Amount (ILS)],FlatDataset[Name],E112,FlatDataset[Date],"&gt;="&amp;C$3,FlatDataset[Date],"&lt;="&amp;C$4)</f>
        <v>0</v>
      </c>
      <c r="G112" s="128">
        <f>'All Periods'!G112</f>
        <v>0</v>
      </c>
    </row>
    <row r="113" spans="5:6">
      <c r="F113" s="96"/>
    </row>
    <row r="115" spans="5:6">
      <c r="E115" s="117" t="s">
        <v>40</v>
      </c>
      <c r="F115" s="96"/>
    </row>
    <row r="116" spans="5:6">
      <c r="F116" s="96"/>
    </row>
    <row r="117" spans="5:6">
      <c r="E117" s="82" t="s">
        <v>55</v>
      </c>
      <c r="F117" s="96">
        <f>SUMIFS(FlatDataset[Amount (ILS)],FlatDataset[Payment method],E117,FlatDataset[Date],"&gt;="&amp;C$3,FlatDataset[Date],"&lt;="&amp;$C$4)</f>
        <v>3000</v>
      </c>
    </row>
    <row r="118" spans="5:6">
      <c r="E118" s="82" t="s">
        <v>58</v>
      </c>
      <c r="F118" s="96">
        <f>SUMIFS(FlatDataset[Amount (ILS)],FlatDataset[Payment method],E118,FlatDataset[Date],"&gt;="&amp;C$3,FlatDataset[Date],"&lt;="&amp;$C$4)</f>
        <v>14850</v>
      </c>
    </row>
    <row r="119" spans="5:6">
      <c r="E119" s="82"/>
    </row>
    <row r="121" spans="5:6">
      <c r="E121" s="77" t="s">
        <v>59</v>
      </c>
    </row>
    <row r="122" spans="5:6">
      <c r="E122" s="82" t="str">
        <f>'All Periods'!E126</f>
        <v>מעמ אירופה</v>
      </c>
      <c r="F122" s="96">
        <f>SUMIFS(FlatDataset[Amount (ILS)],FlatDataset[Name],E122,FlatDataset[Date],"&gt;="&amp;C$3,FlatDataset[Date],"&lt;="&amp;C$4)</f>
        <v>4370</v>
      </c>
    </row>
    <row r="123" spans="5:6">
      <c r="E123" s="82">
        <f>'All Periods'!E127</f>
        <v>0</v>
      </c>
      <c r="F123" s="96">
        <f>SUMIFS(FlatDataset[Amount (ILS)],FlatDataset[Name],E123,FlatDataset[Date],"&gt;="&amp;C$3,FlatDataset[Date],"&lt;="&amp;C$4)</f>
        <v>0</v>
      </c>
    </row>
    <row r="124" spans="5:6">
      <c r="E124" s="14">
        <f>'All Periods'!E128</f>
        <v>0</v>
      </c>
      <c r="F124" s="96">
        <f>SUMIFS(FlatDataset[Amount (ILS)],FlatDataset[Name],E124,FlatDataset[Date],"&gt;="&amp;C$3,FlatDataset[Date],"&lt;="&amp;C$4)</f>
        <v>0</v>
      </c>
    </row>
    <row r="125" spans="5:6">
      <c r="E125" s="79">
        <f>'All Periods'!E129</f>
        <v>0</v>
      </c>
      <c r="F125" s="96">
        <f>SUMIFS(FlatDataset[Amount (ILS)],FlatDataset[Name],E125,FlatDataset[Date],"&gt;="&amp;C$3,FlatDataset[Date],"&lt;="&amp;C$4)</f>
        <v>0</v>
      </c>
    </row>
    <row r="126" spans="5:6">
      <c r="E126" s="82">
        <f>'All Periods'!E130</f>
        <v>0</v>
      </c>
      <c r="F126" s="96">
        <f>SUMIFS(FlatDataset[Amount (ILS)],FlatDataset[Name],E126,FlatDataset[Date],"&gt;="&amp;C$3,FlatDataset[Date],"&lt;="&amp;C$4)</f>
        <v>0</v>
      </c>
    </row>
    <row r="127" spans="5:6">
      <c r="E127" s="82">
        <f>'All Periods'!E131</f>
        <v>0</v>
      </c>
      <c r="F127" s="96">
        <f>SUMIFS(FlatDataset[Amount (ILS)],FlatDataset[Name],E127,FlatDataset[Date],"&gt;="&amp;C$3,FlatDataset[Date],"&lt;="&amp;C$4)</f>
        <v>0</v>
      </c>
    </row>
    <row r="128" spans="5:6">
      <c r="E128" s="82">
        <f>'All Periods'!E132</f>
        <v>0</v>
      </c>
      <c r="F128" s="96">
        <f>SUMIFS(FlatDataset[Amount (ILS)],FlatDataset[Name],E128,FlatDataset[Date],"&gt;="&amp;C$3,FlatDataset[Date],"&lt;="&amp;C$4)</f>
        <v>0</v>
      </c>
    </row>
    <row r="129" spans="2:6">
      <c r="E129" s="82">
        <f>'All Periods'!E133</f>
        <v>0</v>
      </c>
      <c r="F129" s="96">
        <f>SUMIFS(FlatDataset[Amount (ILS)],FlatDataset[Name],E129,FlatDataset[Date],"&gt;="&amp;C$3,FlatDataset[Date],"&lt;="&amp;C$4)</f>
        <v>0</v>
      </c>
    </row>
    <row r="130" spans="2:6">
      <c r="E130" s="82">
        <f>'All Periods'!E134</f>
        <v>0</v>
      </c>
      <c r="F130" s="96">
        <f>SUMIFS(FlatDataset[Amount (ILS)],FlatDataset[Name],E130,FlatDataset[Date],"&gt;="&amp;C$3,FlatDataset[Date],"&lt;="&amp;C$4)</f>
        <v>0</v>
      </c>
    </row>
    <row r="133" spans="2:6">
      <c r="F133" s="96"/>
    </row>
    <row r="134" spans="2:6">
      <c r="F134" s="96"/>
    </row>
    <row r="135" spans="2:6" ht="15.75" thickBot="1">
      <c r="B135" s="127" t="s">
        <v>42</v>
      </c>
      <c r="C135" s="121">
        <f>SUM(C42,C45,C46,C51,C53)</f>
        <v>243000</v>
      </c>
      <c r="E135" s="127" t="s">
        <v>30</v>
      </c>
      <c r="F135" s="121">
        <f>SUM(F37:F134)-SUMIF(G37:G134,"x",F37:F134)+F31+F23</f>
        <v>342420</v>
      </c>
    </row>
    <row r="137" spans="2:6">
      <c r="F137" s="132"/>
    </row>
    <row r="139" spans="2:6" ht="15.75" thickBot="1">
      <c r="B139" s="115" t="s">
        <v>43</v>
      </c>
      <c r="C139" s="116">
        <f>SUM(C135,-F135)</f>
        <v>-99420</v>
      </c>
    </row>
    <row r="140" spans="2:6" ht="15.75" thickTop="1"/>
  </sheetData>
  <conditionalFormatting sqref="C84">
    <cfRule type="cellIs" dxfId="65" priority="22" operator="lessThan">
      <formula>0</formula>
    </cfRule>
    <cfRule type="cellIs" dxfId="64" priority="23" operator="greaterThan">
      <formula>0</formula>
    </cfRule>
  </conditionalFormatting>
  <conditionalFormatting sqref="E46">
    <cfRule type="duplicateValues" dxfId="63" priority="21"/>
  </conditionalFormatting>
  <conditionalFormatting sqref="C139">
    <cfRule type="cellIs" dxfId="62" priority="19" operator="lessThan">
      <formula>0</formula>
    </cfRule>
    <cfRule type="cellIs" dxfId="61" priority="20" operator="greaterThan">
      <formula>0</formula>
    </cfRule>
  </conditionalFormatting>
  <conditionalFormatting sqref="C88">
    <cfRule type="cellIs" dxfId="60" priority="17" operator="lessThan">
      <formula>0</formula>
    </cfRule>
    <cfRule type="cellIs" dxfId="59" priority="18" operator="greaterThan">
      <formula>0</formula>
    </cfRule>
  </conditionalFormatting>
  <conditionalFormatting sqref="C33">
    <cfRule type="cellIs" dxfId="58" priority="15" operator="lessThan">
      <formula>0</formula>
    </cfRule>
    <cfRule type="cellIs" dxfId="57" priority="16" operator="greaterThan">
      <formula>0</formula>
    </cfRule>
  </conditionalFormatting>
  <conditionalFormatting sqref="E61">
    <cfRule type="duplicateValues" dxfId="56" priority="7"/>
  </conditionalFormatting>
  <conditionalFormatting sqref="E125">
    <cfRule type="duplicateValues" dxfId="55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3:N140"/>
  <sheetViews>
    <sheetView showGridLines="0" rightToLeft="1" zoomScale="90" zoomScaleNormal="90" workbookViewId="0"/>
  </sheetViews>
  <sheetFormatPr defaultColWidth="9.140625" defaultRowHeight="15"/>
  <cols>
    <col min="1" max="1" width="5.85546875" style="14" customWidth="1"/>
    <col min="2" max="2" width="28.42578125" style="14" customWidth="1"/>
    <col min="3" max="3" width="13.7109375" style="14" customWidth="1"/>
    <col min="4" max="4" width="6.28515625" style="82" customWidth="1"/>
    <col min="5" max="5" width="36.42578125" style="14" customWidth="1"/>
    <col min="6" max="6" width="13" style="29" customWidth="1"/>
    <col min="7" max="7" width="4.7109375" style="91" customWidth="1"/>
    <col min="8" max="8" width="3.28515625" style="14" customWidth="1"/>
    <col min="9" max="9" width="13.7109375" style="82" customWidth="1"/>
    <col min="10" max="10" width="13.7109375" style="92" customWidth="1"/>
    <col min="11" max="13" width="13.7109375" style="82" customWidth="1"/>
    <col min="14" max="16" width="13.7109375" style="14" customWidth="1"/>
    <col min="17" max="16384" width="9.140625" style="14"/>
  </cols>
  <sheetData>
    <row r="3" spans="1:14">
      <c r="B3" s="14" t="s">
        <v>24</v>
      </c>
      <c r="C3" s="129">
        <f>Forecast2!C4+1</f>
        <v>42095</v>
      </c>
    </row>
    <row r="4" spans="1:14">
      <c r="B4" s="14" t="s">
        <v>25</v>
      </c>
      <c r="C4" s="93">
        <v>42124</v>
      </c>
    </row>
    <row r="5" spans="1:14">
      <c r="I5" s="95"/>
      <c r="K5" s="95"/>
      <c r="L5" s="95"/>
      <c r="M5" s="95"/>
      <c r="N5" s="24"/>
    </row>
    <row r="8" spans="1:14">
      <c r="C8" s="96"/>
      <c r="F8" s="96"/>
      <c r="H8" s="91"/>
    </row>
    <row r="9" spans="1:14">
      <c r="B9" s="97" t="s">
        <v>35</v>
      </c>
      <c r="C9" s="98"/>
      <c r="D9" s="84"/>
      <c r="E9" s="99" t="s">
        <v>19</v>
      </c>
      <c r="F9" s="100"/>
      <c r="G9" s="101"/>
      <c r="H9" s="101"/>
    </row>
    <row r="10" spans="1:14">
      <c r="B10" s="102"/>
      <c r="C10" s="103"/>
      <c r="D10" s="83"/>
      <c r="E10" s="102"/>
      <c r="F10" s="103"/>
      <c r="G10" s="104"/>
      <c r="H10" s="104"/>
    </row>
    <row r="11" spans="1:14">
      <c r="A11" s="24"/>
      <c r="B11" s="46" t="s">
        <v>5</v>
      </c>
      <c r="C11" s="105"/>
      <c r="D11" s="83"/>
      <c r="E11" s="106" t="s">
        <v>63</v>
      </c>
      <c r="F11" s="107"/>
      <c r="G11" s="104"/>
      <c r="H11" s="104"/>
    </row>
    <row r="12" spans="1:14">
      <c r="B12" s="14" t="str">
        <f>'All Periods'!B19</f>
        <v>הזרמה 2</v>
      </c>
      <c r="C12" s="108">
        <f>'All Periods'!C19</f>
        <v>20000</v>
      </c>
      <c r="E12" s="82" t="str">
        <f>IF('All Periods'!E12="","",'All Periods'!E12)</f>
        <v>הלוואות - דיסקונט</v>
      </c>
      <c r="F12" s="96">
        <f>SUMIFS(FlatDataset[Amount (ILS)],FlatDataset[Payment method],E12,FlatDataset[Date],"&gt;="&amp;C$3,FlatDataset[Date],"&lt;="&amp;$C$4)</f>
        <v>8000</v>
      </c>
      <c r="H12" s="91"/>
    </row>
    <row r="13" spans="1:14">
      <c r="B13" s="15" t="s">
        <v>84</v>
      </c>
      <c r="C13" s="96">
        <f>Forecast2!C139</f>
        <v>-99420</v>
      </c>
      <c r="E13" s="82" t="str">
        <f>IF('All Periods'!E13="","",'All Periods'!E13)</f>
        <v>צ'ק - דיסקונט</v>
      </c>
      <c r="F13" s="96">
        <f>SUMIFS(FlatDataset[Amount (ILS)],FlatDataset[Payment method],E13,FlatDataset[Date],"&gt;="&amp;C$3,FlatDataset[Date],"&lt;="&amp;$C$4)</f>
        <v>4500</v>
      </c>
      <c r="H13" s="91"/>
    </row>
    <row r="14" spans="1:14">
      <c r="B14" s="76"/>
      <c r="C14" s="103"/>
      <c r="E14" s="82" t="str">
        <f>IF('All Periods'!E14="","",'All Periods'!E14)</f>
        <v/>
      </c>
      <c r="F14" s="96">
        <f>SUMIFS(FlatDataset[Amount (ILS)],FlatDataset[Payment method],E14,FlatDataset[Date],"&gt;="&amp;C$3,FlatDataset[Date],"&lt;="&amp;$C$4)</f>
        <v>0</v>
      </c>
      <c r="H14" s="91"/>
    </row>
    <row r="15" spans="1:14">
      <c r="B15" s="76"/>
      <c r="C15" s="103"/>
      <c r="E15" s="82" t="str">
        <f>IF('All Periods'!E15="","",'All Periods'!E15)</f>
        <v/>
      </c>
      <c r="F15" s="96">
        <f>SUMIFS(FlatDataset[Amount (ILS)],FlatDataset[Payment method],E15,FlatDataset[Date],"&gt;="&amp;C$3,FlatDataset[Date],"&lt;="&amp;$C$4)</f>
        <v>0</v>
      </c>
      <c r="H15" s="91"/>
    </row>
    <row r="16" spans="1:14">
      <c r="B16" s="76"/>
      <c r="C16" s="108"/>
      <c r="E16" s="82" t="str">
        <f>IF('All Periods'!E16="","",'All Periods'!E16)</f>
        <v/>
      </c>
      <c r="F16" s="96">
        <f>SUMIFS(FlatDataset[Amount (ILS)],FlatDataset[Payment method],E16,FlatDataset[Date],"&gt;="&amp;C$3,FlatDataset[Date],"&lt;="&amp;$C$4)</f>
        <v>0</v>
      </c>
      <c r="H16" s="91"/>
    </row>
    <row r="17" spans="2:13">
      <c r="B17" s="76"/>
      <c r="E17" s="82" t="str">
        <f>IF('All Periods'!E17="","",'All Periods'!E17)</f>
        <v/>
      </c>
      <c r="F17" s="96">
        <f>SUMIFS(FlatDataset[Amount (ILS)],FlatDataset[Payment method],E17,FlatDataset[Date],"&gt;="&amp;C$3,FlatDataset[Date],"&lt;="&amp;$C$4)</f>
        <v>0</v>
      </c>
      <c r="H17" s="91"/>
    </row>
    <row r="18" spans="2:13" s="102" customFormat="1">
      <c r="B18" s="5"/>
      <c r="C18" s="133"/>
      <c r="D18" s="83"/>
      <c r="E18" s="82" t="str">
        <f>IF('All Periods'!E18="","",'All Periods'!E18)</f>
        <v/>
      </c>
      <c r="F18" s="96">
        <f>SUMIFS(FlatDataset[Amount (ILS)],FlatDataset[Payment method],E18,FlatDataset[Date],"&gt;="&amp;C$3,FlatDataset[Date],"&lt;="&amp;$C$4)</f>
        <v>0</v>
      </c>
      <c r="G18" s="104"/>
      <c r="H18" s="104"/>
      <c r="I18" s="83"/>
      <c r="J18" s="94"/>
      <c r="K18" s="83"/>
      <c r="L18" s="83"/>
      <c r="M18" s="83"/>
    </row>
    <row r="19" spans="2:13" s="102" customFormat="1">
      <c r="D19" s="83"/>
      <c r="E19" s="82" t="str">
        <f>IF('All Periods'!E19="","",'All Periods'!E19)</f>
        <v/>
      </c>
      <c r="F19" s="96">
        <f>SUMIFS(FlatDataset[Amount (ILS)],FlatDataset[Payment method],E19,FlatDataset[Date],"&gt;="&amp;C$3,FlatDataset[Date],"&lt;="&amp;$C$4)</f>
        <v>0</v>
      </c>
      <c r="G19" s="104"/>
      <c r="H19" s="104"/>
      <c r="I19" s="83"/>
      <c r="J19" s="94"/>
      <c r="K19" s="83"/>
      <c r="L19" s="83"/>
      <c r="M19" s="83"/>
    </row>
    <row r="20" spans="2:13">
      <c r="E20" s="82" t="str">
        <f>IF('All Periods'!E20="","",'All Periods'!E20)</f>
        <v/>
      </c>
      <c r="F20" s="96">
        <f>SUMIFS(FlatDataset[Amount (ILS)],FlatDataset[Payment method],E20,FlatDataset[Date],"&gt;="&amp;C$3,FlatDataset[Date],"&lt;="&amp;$C$4)</f>
        <v>0</v>
      </c>
      <c r="H20" s="91"/>
    </row>
    <row r="21" spans="2:13">
      <c r="E21" s="82" t="str">
        <f>IF('All Periods'!E21="","",'All Periods'!E21)</f>
        <v/>
      </c>
      <c r="F21" s="96">
        <f>SUMIFS(FlatDataset[Amount (ILS)],FlatDataset[Payment method],E21,FlatDataset[Date],"&gt;="&amp;C$3,FlatDataset[Date],"&lt;="&amp;$C$4)</f>
        <v>0</v>
      </c>
      <c r="H21" s="91"/>
    </row>
    <row r="22" spans="2:13">
      <c r="E22" s="82" t="str">
        <f>IF('All Periods'!E22="","",'All Periods'!E22)</f>
        <v/>
      </c>
      <c r="F22" s="96">
        <f>SUMIFS(FlatDataset[Amount (ILS)],FlatDataset[Payment method],E22,FlatDataset[Date],"&gt;="&amp;C$3,FlatDataset[Date],"&lt;="&amp;$C$4)</f>
        <v>0</v>
      </c>
      <c r="H22" s="91"/>
    </row>
    <row r="23" spans="2:13" ht="15.75" thickBot="1">
      <c r="B23" s="112" t="s">
        <v>41</v>
      </c>
      <c r="C23" s="113">
        <f>SUM(C12:C22)-SUMIFS(C12:C22,D12:D22,"x")</f>
        <v>-79420</v>
      </c>
      <c r="E23" s="112" t="s">
        <v>65</v>
      </c>
      <c r="F23" s="113">
        <f>SUM(F12:F22)-SUMIFS(F12:F22,G12:G22,"x")</f>
        <v>12500</v>
      </c>
      <c r="H23" s="91"/>
    </row>
    <row r="24" spans="2:13">
      <c r="H24" s="91"/>
    </row>
    <row r="25" spans="2:13">
      <c r="B25" s="106" t="s">
        <v>32</v>
      </c>
      <c r="C25" s="107"/>
      <c r="E25" s="106" t="s">
        <v>64</v>
      </c>
      <c r="F25" s="107"/>
      <c r="H25" s="91"/>
    </row>
    <row r="26" spans="2:13">
      <c r="C26" s="96"/>
      <c r="E26" s="82" t="str">
        <f>IF('All Periods'!E27="","",'All Periods'!E27)</f>
        <v>הלוואות - מזרחי</v>
      </c>
      <c r="F26" s="96">
        <f>SUMIFS(FlatDataset[Amount (ILS)],FlatDataset[Payment method],E26,FlatDataset[Date],"&gt;="&amp;C$3,FlatDataset[Date],"&lt;="&amp;$C$4)</f>
        <v>8000</v>
      </c>
      <c r="H26" s="91"/>
    </row>
    <row r="27" spans="2:13">
      <c r="B27" s="15"/>
      <c r="C27" s="108"/>
      <c r="E27" s="82" t="str">
        <f>IF('All Periods'!E28="","",'All Periods'!E28)</f>
        <v>צ'ק - מזרחי</v>
      </c>
      <c r="F27" s="96">
        <f>SUMIFS(FlatDataset[Amount (ILS)],FlatDataset[Payment method],E27,FlatDataset[Date],"&gt;="&amp;C$3,FlatDataset[Date],"&lt;="&amp;$C$4)</f>
        <v>6000</v>
      </c>
      <c r="H27" s="91"/>
    </row>
    <row r="28" spans="2:13">
      <c r="B28" s="76"/>
      <c r="C28" s="103"/>
      <c r="E28" s="82" t="str">
        <f>IF('All Periods'!E29="","",'All Periods'!E29)</f>
        <v>הוראות קבע - מזרחי</v>
      </c>
      <c r="F28" s="96">
        <f>SUMIFS(FlatDataset[Amount (ILS)],FlatDataset[Payment method],E28,FlatDataset[Date],"&gt;="&amp;C$3,FlatDataset[Date],"&lt;="&amp;$C$4)</f>
        <v>0</v>
      </c>
      <c r="H28" s="91"/>
    </row>
    <row r="29" spans="2:13">
      <c r="B29" s="76"/>
      <c r="C29" s="103"/>
      <c r="E29" s="82" t="str">
        <f>IF('All Periods'!E30="","",'All Periods'!E30)</f>
        <v/>
      </c>
      <c r="F29" s="96">
        <f>SUMIFS(FlatDataset[Amount (ILS)],FlatDataset[Payment method],E29,FlatDataset[Date],"&gt;="&amp;C$3,FlatDataset[Date],"&lt;="&amp;$C$4)</f>
        <v>0</v>
      </c>
      <c r="H29" s="91"/>
    </row>
    <row r="30" spans="2:13">
      <c r="C30" s="103"/>
      <c r="E30" s="82" t="str">
        <f>IF('All Periods'!E31="","",'All Periods'!E31)</f>
        <v/>
      </c>
      <c r="F30" s="96">
        <f>SUMIFS(FlatDataset[Amount (ILS)],FlatDataset[Payment method],E30,FlatDataset[Date],"&gt;="&amp;C$3,FlatDataset[Date],"&lt;="&amp;$C$4)</f>
        <v>0</v>
      </c>
      <c r="H30" s="91"/>
    </row>
    <row r="31" spans="2:13" ht="15.75" thickBot="1">
      <c r="B31" s="112" t="s">
        <v>39</v>
      </c>
      <c r="C31" s="113">
        <f>SUM(C26:C30)</f>
        <v>0</v>
      </c>
      <c r="E31" s="112" t="s">
        <v>65</v>
      </c>
      <c r="F31" s="113">
        <f>SUM(F26:F30)-SUMIFS(F26:F30,G26:G30,"x")</f>
        <v>14000</v>
      </c>
      <c r="H31" s="91"/>
    </row>
    <row r="32" spans="2:13">
      <c r="H32" s="91"/>
    </row>
    <row r="33" spans="2:8" ht="15.75" thickBot="1">
      <c r="B33" s="115" t="s">
        <v>66</v>
      </c>
      <c r="C33" s="116">
        <f>SUM(C31,C23)-SUM(F31,F23)</f>
        <v>-105920</v>
      </c>
      <c r="H33" s="91"/>
    </row>
    <row r="34" spans="2:8" ht="15.75" thickTop="1">
      <c r="H34" s="91"/>
    </row>
    <row r="35" spans="2:8">
      <c r="H35" s="91"/>
    </row>
    <row r="36" spans="2:8">
      <c r="B36" s="145"/>
      <c r="C36" s="62"/>
      <c r="H36" s="91"/>
    </row>
    <row r="37" spans="2:8">
      <c r="B37" s="76"/>
      <c r="C37" s="62"/>
      <c r="E37" s="117" t="s">
        <v>37</v>
      </c>
      <c r="F37" s="96"/>
      <c r="H37" s="91"/>
    </row>
    <row r="38" spans="2:8">
      <c r="B38" s="76"/>
      <c r="C38" s="62"/>
      <c r="E38" s="82" t="str">
        <f>IF('All Periods'!E39="","",'All Periods'!E39)</f>
        <v>משכורות</v>
      </c>
      <c r="F38" s="96">
        <f>SUMIFS(FlatDataset[Amount (ILS)],FlatDataset[Name],E38,FlatDataset[Date],"&gt;="&amp;C$3,FlatDataset[Date],"&lt;="&amp;C$4)</f>
        <v>100000</v>
      </c>
      <c r="G38" s="91">
        <f>'All Periods'!G39</f>
        <v>0</v>
      </c>
      <c r="H38" s="104"/>
    </row>
    <row r="39" spans="2:8">
      <c r="B39" s="5"/>
      <c r="C39" s="133"/>
      <c r="E39" s="82" t="str">
        <f>IF('All Periods'!E40="","",'All Periods'!E40)</f>
        <v>ביטוח לאומי</v>
      </c>
      <c r="F39" s="96">
        <f>SUMIFS(FlatDataset[Amount (ILS)],FlatDataset[Name],E39,FlatDataset[Date],"&gt;="&amp;C$3,FlatDataset[Date],"&lt;="&amp;C$4)</f>
        <v>20000</v>
      </c>
      <c r="G39" s="91">
        <f>'All Periods'!G40</f>
        <v>0</v>
      </c>
      <c r="H39" s="104"/>
    </row>
    <row r="40" spans="2:8">
      <c r="E40" s="82" t="str">
        <f>IF('All Periods'!E41="","",'All Periods'!E41)</f>
        <v>מס הכנסה - ניכוי במקור משכורות</v>
      </c>
      <c r="F40" s="96">
        <f>SUMIFS(FlatDataset[Amount (ILS)],FlatDataset[Name],E40,FlatDataset[Date],"&gt;="&amp;C$3,FlatDataset[Date],"&lt;="&amp;C$4)</f>
        <v>20000</v>
      </c>
      <c r="G40" s="91">
        <f>'All Periods'!G41</f>
        <v>0</v>
      </c>
      <c r="H40" s="104"/>
    </row>
    <row r="41" spans="2:8">
      <c r="B41" s="15"/>
      <c r="C41" s="96"/>
      <c r="E41" s="82" t="str">
        <f>IF('All Periods'!E42="","",'All Periods'!E42)</f>
        <v>קופות פנסיה</v>
      </c>
      <c r="F41" s="96">
        <f>SUMIFS(FlatDataset[Amount (ILS)],FlatDataset[Name],E41,FlatDataset[Date],"&gt;="&amp;C$3,FlatDataset[Date],"&lt;="&amp;C$4)</f>
        <v>30000</v>
      </c>
      <c r="G41" s="91">
        <f>'All Periods'!G42</f>
        <v>0</v>
      </c>
      <c r="H41" s="104"/>
    </row>
    <row r="42" spans="2:8" ht="15.75" thickBot="1">
      <c r="B42" s="120" t="s">
        <v>61</v>
      </c>
      <c r="C42" s="121">
        <f>SUM(C31,C23)</f>
        <v>-79420</v>
      </c>
      <c r="E42" s="82" t="str">
        <f>IF('All Periods'!E43="","",'All Periods'!E43)</f>
        <v>מעמ ישראל</v>
      </c>
      <c r="F42" s="96">
        <f>SUMIFS(FlatDataset[Amount (ILS)],FlatDataset[Name],E42,FlatDataset[Date],"&gt;="&amp;C$3,FlatDataset[Date],"&lt;="&amp;C$4)</f>
        <v>10000</v>
      </c>
      <c r="G42" s="91">
        <f>'All Periods'!G43</f>
        <v>0</v>
      </c>
      <c r="H42" s="104"/>
    </row>
    <row r="43" spans="2:8">
      <c r="B43" s="122"/>
      <c r="E43" s="82" t="str">
        <f>IF('All Periods'!E44="","",'All Periods'!E44)</f>
        <v>משכורות - אירופה</v>
      </c>
      <c r="F43" s="96">
        <f>SUMIFS(FlatDataset[Amount (ILS)],FlatDataset[Name],E43,FlatDataset[Date],"&gt;="&amp;C$3,FlatDataset[Date],"&lt;="&amp;C$4)</f>
        <v>21850</v>
      </c>
      <c r="G43" s="91">
        <f>'All Periods'!G44</f>
        <v>0</v>
      </c>
      <c r="H43" s="104"/>
    </row>
    <row r="44" spans="2:8">
      <c r="B44" s="14" t="s">
        <v>104</v>
      </c>
      <c r="C44" s="108">
        <f>SUMIFS('צ''קים בקופה'!C:C,'צ''קים בקופה'!E:E,"&lt;="&amp;end_date3+183,'צ''קים בקופה'!E:E,"&gt;="&amp;start_date3+183)</f>
        <v>0</v>
      </c>
      <c r="E44" s="82" t="str">
        <f>IF('All Periods'!E45="","",'All Periods'!E45)</f>
        <v/>
      </c>
      <c r="F44" s="96">
        <f>SUMIFS(FlatDataset[Amount (ILS)],FlatDataset[Name],E44,FlatDataset[Date],"&gt;="&amp;C$3,FlatDataset[Date],"&lt;="&amp;C$4)</f>
        <v>0</v>
      </c>
      <c r="G44" s="91">
        <f>'All Periods'!G45</f>
        <v>0</v>
      </c>
      <c r="H44" s="104"/>
    </row>
    <row r="45" spans="2:8">
      <c r="B45" s="138" t="s">
        <v>78</v>
      </c>
      <c r="C45" s="109">
        <v>100000</v>
      </c>
      <c r="E45" s="82"/>
      <c r="F45" s="96">
        <f>SUMIFS(FlatDataset[Amount (ILS)],FlatDataset[Name],E45,FlatDataset[Date],"&gt;="&amp;C$3,FlatDataset[Date],"&lt;="&amp;C$4)</f>
        <v>0</v>
      </c>
      <c r="H45" s="91"/>
    </row>
    <row r="46" spans="2:8">
      <c r="B46" s="26"/>
      <c r="C46" s="62"/>
      <c r="E46" s="124" t="s">
        <v>79</v>
      </c>
      <c r="F46" s="126"/>
      <c r="G46" s="104"/>
      <c r="H46" s="91"/>
    </row>
    <row r="47" spans="2:8">
      <c r="E47" s="82" t="str">
        <f>IF('All Periods'!E48="","",'All Periods'!E48)</f>
        <v>ספק א</v>
      </c>
      <c r="F47" s="96">
        <f>SUMIFS(FlatDataset[Amount (ILS)],FlatDataset[Name],E47,FlatDataset[Date],"&gt;="&amp;C$3,FlatDataset[Date],"&lt;="&amp;C$4)</f>
        <v>5000</v>
      </c>
      <c r="G47" s="104">
        <f>'All Periods'!G48</f>
        <v>0</v>
      </c>
      <c r="H47" s="91"/>
    </row>
    <row r="48" spans="2:8">
      <c r="E48" s="82" t="str">
        <f>IF('All Periods'!E49="","",'All Periods'!E49)</f>
        <v>ספק ב</v>
      </c>
      <c r="F48" s="96">
        <f>SUMIFS(FlatDataset[Amount (ILS)],FlatDataset[Name],E48,FlatDataset[Date],"&gt;="&amp;C$3,FlatDataset[Date],"&lt;="&amp;C$4)</f>
        <v>0</v>
      </c>
      <c r="G48" s="104">
        <f>'All Periods'!G49</f>
        <v>0</v>
      </c>
      <c r="H48" s="91"/>
    </row>
    <row r="49" spans="2:8">
      <c r="B49" s="140"/>
      <c r="C49" s="141"/>
      <c r="E49" s="82" t="str">
        <f>IF('All Periods'!E50="","",'All Periods'!E50)</f>
        <v>ספק ג</v>
      </c>
      <c r="F49" s="96">
        <f>SUMIFS(FlatDataset[Amount (ILS)],FlatDataset[Name],E49,FlatDataset[Date],"&gt;="&amp;C$3,FlatDataset[Date],"&lt;="&amp;C$4)</f>
        <v>13110</v>
      </c>
      <c r="G49" s="104">
        <f>'All Periods'!G50</f>
        <v>0</v>
      </c>
      <c r="H49" s="91"/>
    </row>
    <row r="50" spans="2:8">
      <c r="B50" s="140"/>
      <c r="C50" s="142"/>
      <c r="E50" s="82" t="str">
        <f>IF('All Periods'!E51="","",'All Periods'!E51)</f>
        <v>ספק ד</v>
      </c>
      <c r="F50" s="96">
        <f>SUMIFS(FlatDataset[Amount (ILS)],FlatDataset[Name],E50,FlatDataset[Date],"&gt;="&amp;C$3,FlatDataset[Date],"&lt;="&amp;C$4)</f>
        <v>0</v>
      </c>
      <c r="G50" s="104">
        <f>'All Periods'!G51</f>
        <v>0</v>
      </c>
      <c r="H50" s="91"/>
    </row>
    <row r="51" spans="2:8">
      <c r="B51" s="143"/>
      <c r="C51" s="141"/>
      <c r="E51" s="82" t="str">
        <f>IF('All Periods'!E52="","",'All Periods'!E52)</f>
        <v/>
      </c>
      <c r="F51" s="96">
        <f>SUMIFS(FlatDataset[Amount (ILS)],FlatDataset[Name],E51,FlatDataset[Date],"&gt;="&amp;C$3,FlatDataset[Date],"&lt;="&amp;C$4)</f>
        <v>0</v>
      </c>
      <c r="G51" s="104">
        <f>'All Periods'!G52</f>
        <v>0</v>
      </c>
      <c r="H51" s="91"/>
    </row>
    <row r="52" spans="2:8">
      <c r="E52" s="82" t="str">
        <f>IF('All Periods'!E53="","",'All Periods'!E53)</f>
        <v/>
      </c>
      <c r="F52" s="96">
        <f>SUMIFS(FlatDataset[Amount (ILS)],FlatDataset[Name],E52,FlatDataset[Date],"&gt;="&amp;C$3,FlatDataset[Date],"&lt;="&amp;C$4)</f>
        <v>0</v>
      </c>
      <c r="G52" s="104">
        <f>'All Periods'!G53</f>
        <v>0</v>
      </c>
      <c r="H52" s="91"/>
    </row>
    <row r="53" spans="2:8">
      <c r="B53" s="26"/>
      <c r="C53" s="62"/>
      <c r="E53" s="82" t="str">
        <f>IF('All Periods'!E54="","",'All Periods'!E54)</f>
        <v/>
      </c>
      <c r="F53" s="96">
        <f>SUMIFS(FlatDataset[Amount (ILS)],FlatDataset[Name],E53,FlatDataset[Date],"&gt;="&amp;C$3,FlatDataset[Date],"&lt;="&amp;C$4)</f>
        <v>0</v>
      </c>
      <c r="G53" s="104">
        <f>'All Periods'!G54</f>
        <v>0</v>
      </c>
      <c r="H53" s="91"/>
    </row>
    <row r="54" spans="2:8">
      <c r="C54" s="52"/>
      <c r="E54" s="82" t="str">
        <f>IF('All Periods'!E55="","",'All Periods'!E55)</f>
        <v/>
      </c>
      <c r="F54" s="96">
        <f>SUMIFS(FlatDataset[Amount (ILS)],FlatDataset[Name],E54,FlatDataset[Date],"&gt;="&amp;C$3,FlatDataset[Date],"&lt;="&amp;C$4)</f>
        <v>0</v>
      </c>
      <c r="G54" s="104">
        <f>'All Periods'!G55</f>
        <v>0</v>
      </c>
      <c r="H54" s="91"/>
    </row>
    <row r="55" spans="2:8">
      <c r="E55" s="82" t="str">
        <f>IF('All Periods'!E56="","",'All Periods'!E56)</f>
        <v/>
      </c>
      <c r="F55" s="96">
        <f>SUMIFS(FlatDataset[Amount (ILS)],FlatDataset[Name],E55,FlatDataset[Date],"&gt;="&amp;C$3,FlatDataset[Date],"&lt;="&amp;C$4)</f>
        <v>0</v>
      </c>
      <c r="G55" s="104">
        <f>'All Periods'!G56</f>
        <v>0</v>
      </c>
      <c r="H55" s="91"/>
    </row>
    <row r="56" spans="2:8">
      <c r="E56" s="82" t="str">
        <f>IF('All Periods'!E57="","",'All Periods'!E57)</f>
        <v/>
      </c>
      <c r="F56" s="96">
        <f>SUMIFS(FlatDataset[Amount (ILS)],FlatDataset[Name],E56,FlatDataset[Date],"&gt;="&amp;C$3,FlatDataset[Date],"&lt;="&amp;C$4)</f>
        <v>0</v>
      </c>
      <c r="G56" s="104">
        <f>'All Periods'!G57</f>
        <v>0</v>
      </c>
      <c r="H56" s="91"/>
    </row>
    <row r="57" spans="2:8">
      <c r="E57" s="82" t="str">
        <f>IF('All Periods'!E58="","",'All Periods'!E58)</f>
        <v/>
      </c>
      <c r="F57" s="96">
        <f>SUMIFS(FlatDataset[Amount (ILS)],FlatDataset[Name],E57,FlatDataset[Date],"&gt;="&amp;C$3,FlatDataset[Date],"&lt;="&amp;C$4)</f>
        <v>0</v>
      </c>
      <c r="G57" s="104">
        <f>'All Periods'!G58</f>
        <v>0</v>
      </c>
      <c r="H57" s="91"/>
    </row>
    <row r="58" spans="2:8">
      <c r="E58" s="82" t="str">
        <f>IF('All Periods'!E59="","",'All Periods'!E59)</f>
        <v/>
      </c>
      <c r="F58" s="96">
        <f>SUMIFS(FlatDataset[Amount (ILS)],FlatDataset[Name],E58,FlatDataset[Date],"&gt;="&amp;C$3,FlatDataset[Date],"&lt;="&amp;C$4)</f>
        <v>0</v>
      </c>
      <c r="G58" s="104">
        <f>'All Periods'!G59</f>
        <v>0</v>
      </c>
      <c r="H58" s="91"/>
    </row>
    <row r="59" spans="2:8">
      <c r="H59" s="91"/>
    </row>
    <row r="60" spans="2:8">
      <c r="E60" s="82"/>
      <c r="F60" s="96"/>
      <c r="H60" s="91"/>
    </row>
    <row r="61" spans="2:8">
      <c r="E61" s="124" t="s">
        <v>21</v>
      </c>
      <c r="F61" s="96"/>
      <c r="H61" s="91"/>
    </row>
    <row r="62" spans="2:8">
      <c r="E62" s="82" t="str">
        <f>IF('All Periods'!E62="","",'All Periods'!E62)</f>
        <v>חוב לספק א</v>
      </c>
      <c r="F62" s="96">
        <f>SUMIFS(FlatDataset[Amount (ILS)],FlatDataset[Name],E62,FlatDataset[Date],"&gt;="&amp;C$3,FlatDataset[Date],"&lt;="&amp;C$4)</f>
        <v>10000</v>
      </c>
      <c r="G62" s="91">
        <f>'All Periods'!G62</f>
        <v>0</v>
      </c>
      <c r="H62" s="91"/>
    </row>
    <row r="63" spans="2:8">
      <c r="E63" s="82" t="str">
        <f>IF('All Periods'!E63="","",'All Periods'!E63)</f>
        <v>חוב לספק ב</v>
      </c>
      <c r="F63" s="96">
        <f>SUMIFS(FlatDataset[Amount (ILS)],FlatDataset[Name],E63,FlatDataset[Date],"&gt;="&amp;C$3,FlatDataset[Date],"&lt;="&amp;C$4)</f>
        <v>8740</v>
      </c>
      <c r="G63" s="91">
        <f>'All Periods'!G63</f>
        <v>0</v>
      </c>
      <c r="H63" s="91"/>
    </row>
    <row r="64" spans="2:8">
      <c r="E64" s="82" t="str">
        <f>IF('All Periods'!E64="","",'All Periods'!E64)</f>
        <v>חוב לספק ג</v>
      </c>
      <c r="F64" s="96">
        <f>SUMIFS(FlatDataset[Amount (ILS)],FlatDataset[Name],E64,FlatDataset[Date],"&gt;="&amp;C$3,FlatDataset[Date],"&lt;="&amp;C$4)</f>
        <v>20000</v>
      </c>
      <c r="G64" s="91">
        <f>'All Periods'!G64</f>
        <v>0</v>
      </c>
      <c r="H64" s="91"/>
    </row>
    <row r="65" spans="5:8">
      <c r="E65" s="82" t="str">
        <f>IF('All Periods'!E65="","",'All Periods'!E65)</f>
        <v>חוב לספק ד</v>
      </c>
      <c r="F65" s="96">
        <f>SUMIFS(FlatDataset[Amount (ILS)],FlatDataset[Name],E65,FlatDataset[Date],"&gt;="&amp;C$3,FlatDataset[Date],"&lt;="&amp;C$4)</f>
        <v>50000</v>
      </c>
      <c r="G65" s="91">
        <f>'All Periods'!G65</f>
        <v>0</v>
      </c>
      <c r="H65" s="91"/>
    </row>
    <row r="66" spans="5:8">
      <c r="E66" s="82" t="str">
        <f>IF('All Periods'!E66="","",'All Periods'!E66)</f>
        <v/>
      </c>
      <c r="F66" s="96">
        <f>SUMIFS(FlatDataset[Amount (ILS)],FlatDataset[Name],E66,FlatDataset[Date],"&gt;="&amp;C$3,FlatDataset[Date],"&lt;="&amp;C$4)</f>
        <v>0</v>
      </c>
      <c r="G66" s="91">
        <f>'All Periods'!G66</f>
        <v>0</v>
      </c>
      <c r="H66" s="91"/>
    </row>
    <row r="67" spans="5:8">
      <c r="E67" s="82" t="str">
        <f>IF('All Periods'!E67="","",'All Periods'!E67)</f>
        <v/>
      </c>
      <c r="F67" s="96">
        <f>SUMIFS(FlatDataset[Amount (ILS)],FlatDataset[Name],E67,FlatDataset[Date],"&gt;="&amp;C$3,FlatDataset[Date],"&lt;="&amp;C$4)</f>
        <v>0</v>
      </c>
      <c r="G67" s="91">
        <f>'All Periods'!G67</f>
        <v>0</v>
      </c>
      <c r="H67" s="91"/>
    </row>
    <row r="68" spans="5:8">
      <c r="E68" s="82" t="str">
        <f>IF('All Periods'!E68="","",'All Periods'!E68)</f>
        <v/>
      </c>
      <c r="F68" s="96">
        <f>SUMIFS(FlatDataset[Amount (ILS)],FlatDataset[Name],E68,FlatDataset[Date],"&gt;="&amp;C$3,FlatDataset[Date],"&lt;="&amp;C$4)</f>
        <v>0</v>
      </c>
      <c r="G68" s="91">
        <f>'All Periods'!G68</f>
        <v>0</v>
      </c>
      <c r="H68" s="91"/>
    </row>
    <row r="69" spans="5:8">
      <c r="E69" s="82" t="str">
        <f>IF('All Periods'!E69="","",'All Periods'!E69)</f>
        <v/>
      </c>
      <c r="F69" s="96">
        <f>SUMIFS(FlatDataset[Amount (ILS)],FlatDataset[Name],E69,FlatDataset[Date],"&gt;="&amp;C$3,FlatDataset[Date],"&lt;="&amp;C$4)</f>
        <v>0</v>
      </c>
      <c r="G69" s="91">
        <f>'All Periods'!G69</f>
        <v>0</v>
      </c>
      <c r="H69" s="91"/>
    </row>
    <row r="70" spans="5:8">
      <c r="E70" s="82" t="str">
        <f>IF('All Periods'!E70="","",'All Periods'!E70)</f>
        <v/>
      </c>
      <c r="F70" s="96">
        <f>SUMIFS(FlatDataset[Amount (ILS)],FlatDataset[Name],E70,FlatDataset[Date],"&gt;="&amp;C$3,FlatDataset[Date],"&lt;="&amp;C$4)</f>
        <v>0</v>
      </c>
      <c r="G70" s="91">
        <f>'All Periods'!G70</f>
        <v>0</v>
      </c>
      <c r="H70" s="91"/>
    </row>
    <row r="71" spans="5:8">
      <c r="E71" s="82" t="str">
        <f>IF('All Periods'!E71="","",'All Periods'!E71)</f>
        <v/>
      </c>
      <c r="F71" s="96">
        <f>SUMIFS(FlatDataset[Amount (ILS)],FlatDataset[Name],E71,FlatDataset[Date],"&gt;="&amp;C$3,FlatDataset[Date],"&lt;="&amp;C$4)</f>
        <v>0</v>
      </c>
      <c r="G71" s="91">
        <f>'All Periods'!G71</f>
        <v>0</v>
      </c>
      <c r="H71" s="91"/>
    </row>
    <row r="72" spans="5:8">
      <c r="E72" s="82" t="str">
        <f>IF('All Periods'!E72="","",'All Periods'!E72)</f>
        <v/>
      </c>
      <c r="F72" s="96">
        <f>SUMIFS(FlatDataset[Amount (ILS)],FlatDataset[Name],E72,FlatDataset[Date],"&gt;="&amp;C$3,FlatDataset[Date],"&lt;="&amp;C$4)</f>
        <v>0</v>
      </c>
      <c r="G72" s="91">
        <f>'All Periods'!G72</f>
        <v>0</v>
      </c>
      <c r="H72" s="91"/>
    </row>
    <row r="73" spans="5:8">
      <c r="E73" s="82" t="str">
        <f>IF('All Periods'!E73="","",'All Periods'!E73)</f>
        <v/>
      </c>
      <c r="F73" s="96">
        <f>SUMIFS(FlatDataset[Amount (ILS)],FlatDataset[Name],E73,FlatDataset[Date],"&gt;="&amp;C$3,FlatDataset[Date],"&lt;="&amp;C$4)</f>
        <v>0</v>
      </c>
      <c r="G73" s="91">
        <f>'All Periods'!G73</f>
        <v>0</v>
      </c>
      <c r="H73" s="91"/>
    </row>
    <row r="74" spans="5:8">
      <c r="E74" s="82" t="str">
        <f>IF('All Periods'!E74="","",'All Periods'!E74)</f>
        <v/>
      </c>
      <c r="F74" s="96">
        <f>SUMIFS(FlatDataset[Amount (ILS)],FlatDataset[Name],E74,FlatDataset[Date],"&gt;="&amp;C$3,FlatDataset[Date],"&lt;="&amp;C$4)</f>
        <v>0</v>
      </c>
      <c r="G74" s="91">
        <f>'All Periods'!G74</f>
        <v>0</v>
      </c>
      <c r="H74" s="91"/>
    </row>
    <row r="75" spans="5:8">
      <c r="E75" s="82" t="str">
        <f>IF('All Periods'!E75="","",'All Periods'!E75)</f>
        <v/>
      </c>
      <c r="F75" s="96">
        <f>SUMIFS(FlatDataset[Amount (ILS)],FlatDataset[Name],E75,FlatDataset[Date],"&gt;="&amp;C$3,FlatDataset[Date],"&lt;="&amp;C$4)</f>
        <v>0</v>
      </c>
      <c r="G75" s="91">
        <f>'All Periods'!G75</f>
        <v>0</v>
      </c>
      <c r="H75" s="91"/>
    </row>
    <row r="76" spans="5:8">
      <c r="E76" s="82" t="str">
        <f>IF('All Periods'!E76="","",'All Periods'!E76)</f>
        <v/>
      </c>
      <c r="F76" s="96">
        <f>SUMIFS(FlatDataset[Amount (ILS)],FlatDataset[Name],E76,FlatDataset[Date],"&gt;="&amp;C$3,FlatDataset[Date],"&lt;="&amp;C$4)</f>
        <v>0</v>
      </c>
      <c r="G76" s="91">
        <f>'All Periods'!G76</f>
        <v>0</v>
      </c>
    </row>
    <row r="77" spans="5:8">
      <c r="E77" s="82" t="str">
        <f>IF('All Periods'!E77="","",'All Periods'!E77)</f>
        <v/>
      </c>
      <c r="F77" s="96">
        <f>SUMIFS(FlatDataset[Amount (ILS)],FlatDataset[Name],E77,FlatDataset[Date],"&gt;="&amp;C$3,FlatDataset[Date],"&lt;="&amp;C$4)</f>
        <v>0</v>
      </c>
      <c r="G77" s="91">
        <f>'All Periods'!G77</f>
        <v>0</v>
      </c>
    </row>
    <row r="78" spans="5:8">
      <c r="E78" s="82" t="str">
        <f>IF('All Periods'!E78="","",'All Periods'!E78)</f>
        <v/>
      </c>
      <c r="F78" s="96">
        <f>SUMIFS(FlatDataset[Amount (ILS)],FlatDataset[Name],E78,FlatDataset[Date],"&gt;="&amp;C$3,FlatDataset[Date],"&lt;="&amp;C$4)</f>
        <v>0</v>
      </c>
      <c r="G78" s="91">
        <f>'All Periods'!G78</f>
        <v>0</v>
      </c>
    </row>
    <row r="79" spans="5:8">
      <c r="E79" s="82" t="str">
        <f>IF('All Periods'!E79="","",'All Periods'!E79)</f>
        <v/>
      </c>
      <c r="F79" s="96">
        <f>SUMIFS(FlatDataset[Amount (ILS)],FlatDataset[Name],E79,FlatDataset[Date],"&gt;="&amp;C$3,FlatDataset[Date],"&lt;="&amp;C$4)</f>
        <v>0</v>
      </c>
      <c r="G79" s="91">
        <f>'All Periods'!G79</f>
        <v>0</v>
      </c>
      <c r="H79" s="91"/>
    </row>
    <row r="80" spans="5:8">
      <c r="E80" s="82" t="str">
        <f>IF('All Periods'!E80="","",'All Periods'!E80)</f>
        <v/>
      </c>
      <c r="F80" s="96">
        <f>SUMIFS(FlatDataset[Amount (ILS)],FlatDataset[Name],E80,FlatDataset[Date],"&gt;="&amp;C$3,FlatDataset[Date],"&lt;="&amp;C$4)</f>
        <v>0</v>
      </c>
      <c r="G80" s="91">
        <f>'All Periods'!G80</f>
        <v>0</v>
      </c>
      <c r="H80" s="91"/>
    </row>
    <row r="81" spans="2:8">
      <c r="E81" s="82" t="str">
        <f>IF('All Periods'!E81="","",'All Periods'!E81)</f>
        <v/>
      </c>
      <c r="F81" s="96">
        <f>SUMIFS(FlatDataset[Amount (ILS)],FlatDataset[Name],E81,FlatDataset[Date],"&gt;="&amp;C$3,FlatDataset[Date],"&lt;="&amp;C$4)</f>
        <v>0</v>
      </c>
      <c r="G81" s="91">
        <f>'All Periods'!G81</f>
        <v>0</v>
      </c>
      <c r="H81" s="91"/>
    </row>
    <row r="82" spans="2:8">
      <c r="E82" s="82" t="str">
        <f>IF('All Periods'!E82="","",'All Periods'!E82)</f>
        <v/>
      </c>
      <c r="F82" s="96">
        <f>SUMIFS(FlatDataset[Amount (ILS)],FlatDataset[Name],E82,FlatDataset[Date],"&gt;="&amp;C$3,FlatDataset[Date],"&lt;="&amp;C$4)</f>
        <v>0</v>
      </c>
      <c r="G82" s="91">
        <f>'All Periods'!G82</f>
        <v>0</v>
      </c>
      <c r="H82" s="91"/>
    </row>
    <row r="83" spans="2:8">
      <c r="E83" s="82" t="str">
        <f>IF('All Periods'!E83="","",'All Periods'!E83)</f>
        <v/>
      </c>
      <c r="F83" s="96">
        <f>SUMIFS(FlatDataset[Amount (ILS)],FlatDataset[Name],E83,FlatDataset[Date],"&gt;="&amp;C$3,FlatDataset[Date],"&lt;="&amp;C$4)</f>
        <v>0</v>
      </c>
      <c r="G83" s="91">
        <f>'All Periods'!G83</f>
        <v>0</v>
      </c>
      <c r="H83" s="91"/>
    </row>
    <row r="84" spans="2:8">
      <c r="B84" s="15"/>
      <c r="C84" s="108"/>
      <c r="E84" s="82" t="str">
        <f>IF('All Periods'!E84="","",'All Periods'!E84)</f>
        <v/>
      </c>
      <c r="F84" s="96">
        <f>SUMIFS(FlatDataset[Amount (ILS)],FlatDataset[Name],E84,FlatDataset[Date],"&gt;="&amp;C$3,FlatDataset[Date],"&lt;="&amp;C$4)</f>
        <v>0</v>
      </c>
      <c r="G84" s="91">
        <f>'All Periods'!G84</f>
        <v>0</v>
      </c>
      <c r="H84" s="91"/>
    </row>
    <row r="85" spans="2:8">
      <c r="B85" s="15"/>
      <c r="C85" s="108"/>
      <c r="E85" s="82" t="str">
        <f>IF('All Periods'!E85="","",'All Periods'!E85)</f>
        <v/>
      </c>
      <c r="F85" s="96">
        <f>SUMIFS(FlatDataset[Amount (ILS)],FlatDataset[Name],E85,FlatDataset[Date],"&gt;="&amp;C$3,FlatDataset[Date],"&lt;="&amp;C$4)</f>
        <v>0</v>
      </c>
      <c r="G85" s="91">
        <f>'All Periods'!G85</f>
        <v>0</v>
      </c>
      <c r="H85" s="91"/>
    </row>
    <row r="86" spans="2:8">
      <c r="B86" s="15"/>
      <c r="C86" s="15"/>
      <c r="E86" s="82" t="str">
        <f>IF('All Periods'!E86="","",'All Periods'!E86)</f>
        <v/>
      </c>
      <c r="F86" s="96">
        <f>SUMIFS(FlatDataset[Amount (ILS)],FlatDataset[Name],E86,FlatDataset[Date],"&gt;="&amp;C$3,FlatDataset[Date],"&lt;="&amp;C$4)</f>
        <v>0</v>
      </c>
      <c r="G86" s="91">
        <f>'All Periods'!G86</f>
        <v>0</v>
      </c>
      <c r="H86" s="91"/>
    </row>
    <row r="87" spans="2:8">
      <c r="B87" s="15"/>
      <c r="C87" s="62"/>
      <c r="E87" s="82" t="str">
        <f>IF('All Periods'!E87="","",'All Periods'!E87)</f>
        <v/>
      </c>
      <c r="F87" s="96">
        <f>SUMIFS(FlatDataset[Amount (ILS)],FlatDataset[Name],E87,FlatDataset[Date],"&gt;="&amp;C$3,FlatDataset[Date],"&lt;="&amp;C$4)</f>
        <v>0</v>
      </c>
      <c r="G87" s="91">
        <f>'All Periods'!G87</f>
        <v>0</v>
      </c>
      <c r="H87" s="91"/>
    </row>
    <row r="88" spans="2:8">
      <c r="B88" s="41"/>
      <c r="C88" s="125"/>
      <c r="E88" s="82" t="str">
        <f>IF('All Periods'!E88="","",'All Periods'!E88)</f>
        <v/>
      </c>
      <c r="F88" s="96">
        <f>SUMIFS(FlatDataset[Amount (ILS)],FlatDataset[Name],E88,FlatDataset[Date],"&gt;="&amp;C$3,FlatDataset[Date],"&lt;="&amp;C$4)</f>
        <v>0</v>
      </c>
      <c r="G88" s="91">
        <f>'All Periods'!G88</f>
        <v>0</v>
      </c>
      <c r="H88" s="91"/>
    </row>
    <row r="89" spans="2:8">
      <c r="C89" s="103"/>
      <c r="E89" s="82" t="str">
        <f>IF('All Periods'!E89="","",'All Periods'!E89)</f>
        <v/>
      </c>
      <c r="F89" s="96">
        <f>SUMIFS(FlatDataset[Amount (ILS)],FlatDataset[Name],E89,FlatDataset[Date],"&gt;="&amp;C$3,FlatDataset[Date],"&lt;="&amp;C$4)</f>
        <v>0</v>
      </c>
      <c r="G89" s="91">
        <f>'All Periods'!G89</f>
        <v>0</v>
      </c>
      <c r="H89" s="91"/>
    </row>
    <row r="90" spans="2:8">
      <c r="E90" s="82" t="str">
        <f>IF('All Periods'!E90="","",'All Periods'!E90)</f>
        <v/>
      </c>
      <c r="F90" s="96">
        <f>SUMIFS(FlatDataset[Amount (ILS)],FlatDataset[Name],E90,FlatDataset[Date],"&gt;="&amp;C$3,FlatDataset[Date],"&lt;="&amp;C$4)</f>
        <v>0</v>
      </c>
      <c r="G90" s="91">
        <f>'All Periods'!G90</f>
        <v>0</v>
      </c>
      <c r="H90" s="91"/>
    </row>
    <row r="91" spans="2:8">
      <c r="E91" s="82" t="str">
        <f>IF('All Periods'!E91="","",'All Periods'!E91)</f>
        <v/>
      </c>
      <c r="F91" s="96">
        <f>SUMIFS(FlatDataset[Amount (ILS)],FlatDataset[Name],E91,FlatDataset[Date],"&gt;="&amp;C$3,FlatDataset[Date],"&lt;="&amp;C$4)</f>
        <v>0</v>
      </c>
      <c r="G91" s="91">
        <f>'All Periods'!G91</f>
        <v>0</v>
      </c>
      <c r="H91" s="91"/>
    </row>
    <row r="92" spans="2:8">
      <c r="E92" s="82" t="str">
        <f>IF('All Periods'!E92="","",'All Periods'!E92)</f>
        <v/>
      </c>
      <c r="F92" s="96">
        <f>SUMIFS(FlatDataset[Amount (ILS)],FlatDataset[Name],E92,FlatDataset[Date],"&gt;="&amp;C$3,FlatDataset[Date],"&lt;="&amp;C$4)</f>
        <v>0</v>
      </c>
      <c r="G92" s="91">
        <f>'All Periods'!G92</f>
        <v>0</v>
      </c>
      <c r="H92" s="91"/>
    </row>
    <row r="93" spans="2:8">
      <c r="E93" s="82" t="str">
        <f>IF('All Periods'!E93="","",'All Periods'!E93)</f>
        <v/>
      </c>
      <c r="F93" s="96">
        <f>SUMIFS(FlatDataset[Amount (ILS)],FlatDataset[Name],E93,FlatDataset[Date],"&gt;="&amp;C$3,FlatDataset[Date],"&lt;="&amp;C$4)</f>
        <v>0</v>
      </c>
      <c r="G93" s="91">
        <f>'All Periods'!G93</f>
        <v>0</v>
      </c>
      <c r="H93" s="91"/>
    </row>
    <row r="94" spans="2:8">
      <c r="E94" s="82" t="str">
        <f>IF('All Periods'!E94="","",'All Periods'!E94)</f>
        <v/>
      </c>
      <c r="F94" s="96">
        <f>SUMIFS(FlatDataset[Amount (ILS)],FlatDataset[Name],E94,FlatDataset[Date],"&gt;="&amp;C$3,FlatDataset[Date],"&lt;="&amp;C$4)</f>
        <v>0</v>
      </c>
      <c r="G94" s="91">
        <f>'All Periods'!G94</f>
        <v>0</v>
      </c>
      <c r="H94" s="91"/>
    </row>
    <row r="95" spans="2:8">
      <c r="D95" s="81"/>
      <c r="E95" s="82" t="str">
        <f>IF('All Periods'!E95="","",'All Periods'!E95)</f>
        <v/>
      </c>
      <c r="F95" s="96">
        <f>SUMIFS(FlatDataset[Amount (ILS)],FlatDataset[Name],E95,FlatDataset[Date],"&gt;="&amp;C$3,FlatDataset[Date],"&lt;="&amp;C$4)</f>
        <v>0</v>
      </c>
      <c r="G95" s="91">
        <f>'All Periods'!G95</f>
        <v>0</v>
      </c>
      <c r="H95" s="91"/>
    </row>
    <row r="96" spans="2:8">
      <c r="C96" s="96"/>
      <c r="E96" s="82" t="str">
        <f>IF('All Periods'!E96="","",'All Periods'!E96)</f>
        <v/>
      </c>
      <c r="F96" s="96">
        <f>SUMIFS(FlatDataset[Amount (ILS)],FlatDataset[Name],E96,FlatDataset[Date],"&gt;="&amp;C$3,FlatDataset[Date],"&lt;="&amp;C$4)</f>
        <v>0</v>
      </c>
      <c r="G96" s="91">
        <f>'All Periods'!G96</f>
        <v>0</v>
      </c>
      <c r="H96" s="91"/>
    </row>
    <row r="97" spans="2:8">
      <c r="E97" s="82" t="str">
        <f>IF('All Periods'!E97="","",'All Periods'!E97)</f>
        <v/>
      </c>
      <c r="F97" s="96">
        <f>SUMIFS(FlatDataset[Amount (ILS)],FlatDataset[Name],E97,FlatDataset[Date],"&gt;="&amp;C$3,FlatDataset[Date],"&lt;="&amp;C$4)</f>
        <v>0</v>
      </c>
      <c r="G97" s="91">
        <f>'All Periods'!G97</f>
        <v>0</v>
      </c>
      <c r="H97" s="91"/>
    </row>
    <row r="98" spans="2:8">
      <c r="C98" s="96"/>
      <c r="E98" s="82" t="str">
        <f>IF('All Periods'!E98="","",'All Periods'!E98)</f>
        <v/>
      </c>
      <c r="F98" s="96">
        <f>SUMIFS(FlatDataset[Amount (ILS)],FlatDataset[Name],E98,FlatDataset[Date],"&gt;="&amp;C$3,FlatDataset[Date],"&lt;="&amp;C$4)</f>
        <v>0</v>
      </c>
      <c r="G98" s="91">
        <f>'All Periods'!G98</f>
        <v>0</v>
      </c>
      <c r="H98" s="91"/>
    </row>
    <row r="99" spans="2:8">
      <c r="C99" s="96"/>
      <c r="E99" s="82" t="str">
        <f>IF('All Periods'!E99="","",'All Periods'!E99)</f>
        <v/>
      </c>
      <c r="F99" s="96">
        <f>SUMIFS(FlatDataset[Amount (ILS)],FlatDataset[Name],E99,FlatDataset[Date],"&gt;="&amp;C$3,FlatDataset[Date],"&lt;="&amp;C$4)</f>
        <v>0</v>
      </c>
      <c r="G99" s="91">
        <f>'All Periods'!G99</f>
        <v>0</v>
      </c>
      <c r="H99" s="91"/>
    </row>
    <row r="100" spans="2:8">
      <c r="B100" s="26"/>
      <c r="C100" s="126"/>
      <c r="E100" s="82" t="str">
        <f>IF('All Periods'!E100="","",'All Periods'!E100)</f>
        <v/>
      </c>
      <c r="F100" s="96">
        <f>SUMIFS(FlatDataset[Amount (ILS)],FlatDataset[Name],E100,FlatDataset[Date],"&gt;="&amp;C$3,FlatDataset[Date],"&lt;="&amp;C$4)</f>
        <v>0</v>
      </c>
      <c r="G100" s="91">
        <f>'All Periods'!G100</f>
        <v>0</v>
      </c>
      <c r="H100" s="91"/>
    </row>
    <row r="101" spans="2:8">
      <c r="C101" s="96"/>
      <c r="E101" s="82" t="str">
        <f>IF('All Periods'!E101="","",'All Periods'!E101)</f>
        <v/>
      </c>
      <c r="F101" s="96">
        <f>SUMIFS(FlatDataset[Amount (ILS)],FlatDataset[Name],E101,FlatDataset[Date],"&gt;="&amp;C$3,FlatDataset[Date],"&lt;="&amp;C$4)</f>
        <v>0</v>
      </c>
      <c r="G101" s="91">
        <f>'All Periods'!G101</f>
        <v>0</v>
      </c>
      <c r="H101" s="91"/>
    </row>
    <row r="102" spans="2:8">
      <c r="B102" s="26"/>
      <c r="C102" s="126"/>
      <c r="E102" s="82" t="str">
        <f>IF('All Periods'!E102="","",'All Periods'!E102)</f>
        <v/>
      </c>
      <c r="F102" s="96">
        <f>SUMIFS(FlatDataset[Amount (ILS)],FlatDataset[Name],E102,FlatDataset[Date],"&gt;="&amp;C$3,FlatDataset[Date],"&lt;="&amp;C$4)</f>
        <v>0</v>
      </c>
      <c r="G102" s="91">
        <f>'All Periods'!G102</f>
        <v>0</v>
      </c>
      <c r="H102" s="91"/>
    </row>
    <row r="103" spans="2:8">
      <c r="C103" s="96"/>
      <c r="E103" s="82" t="str">
        <f>IF('All Periods'!E103="","",'All Periods'!E103)</f>
        <v/>
      </c>
      <c r="F103" s="96">
        <f>SUMIFS(FlatDataset[Amount (ILS)],FlatDataset[Name],E103,FlatDataset[Date],"&gt;="&amp;C$3,FlatDataset[Date],"&lt;="&amp;C$4)</f>
        <v>0</v>
      </c>
      <c r="G103" s="91">
        <f>'All Periods'!G103</f>
        <v>0</v>
      </c>
      <c r="H103" s="91"/>
    </row>
    <row r="104" spans="2:8">
      <c r="C104" s="96"/>
      <c r="E104" s="82" t="str">
        <f>IF('All Periods'!E104="","",'All Periods'!E104)</f>
        <v/>
      </c>
      <c r="F104" s="96">
        <f>SUMIFS(FlatDataset[Amount (ILS)],FlatDataset[Name],E104,FlatDataset[Date],"&gt;="&amp;C$3,FlatDataset[Date],"&lt;="&amp;C$4)</f>
        <v>0</v>
      </c>
      <c r="G104" s="91">
        <f>'All Periods'!G104</f>
        <v>0</v>
      </c>
    </row>
    <row r="105" spans="2:8">
      <c r="E105" s="82" t="str">
        <f>IF('All Periods'!E105="","",'All Periods'!E105)</f>
        <v/>
      </c>
      <c r="F105" s="96">
        <f>SUMIFS(FlatDataset[Amount (ILS)],FlatDataset[Name],E105,FlatDataset[Date],"&gt;="&amp;C$3,FlatDataset[Date],"&lt;="&amp;C$4)</f>
        <v>0</v>
      </c>
      <c r="G105" s="91">
        <f>'All Periods'!G105</f>
        <v>0</v>
      </c>
    </row>
    <row r="106" spans="2:8">
      <c r="E106" s="82" t="str">
        <f>IF('All Periods'!E106="","",'All Periods'!E106)</f>
        <v/>
      </c>
      <c r="F106" s="96">
        <f>SUMIFS(FlatDataset[Amount (ILS)],FlatDataset[Name],E106,FlatDataset[Date],"&gt;="&amp;C$3,FlatDataset[Date],"&lt;="&amp;C$4)</f>
        <v>0</v>
      </c>
      <c r="G106" s="91">
        <f>'All Periods'!G106</f>
        <v>0</v>
      </c>
    </row>
    <row r="107" spans="2:8">
      <c r="E107" s="82" t="str">
        <f>IF('All Periods'!E107="","",'All Periods'!E107)</f>
        <v/>
      </c>
      <c r="F107" s="96">
        <f>SUMIFS(FlatDataset[Amount (ILS)],FlatDataset[Name],E107,FlatDataset[Date],"&gt;="&amp;C$3,FlatDataset[Date],"&lt;="&amp;C$4)</f>
        <v>0</v>
      </c>
      <c r="G107" s="91">
        <f>'All Periods'!G107</f>
        <v>0</v>
      </c>
    </row>
    <row r="108" spans="2:8">
      <c r="E108" s="82" t="str">
        <f>IF('All Periods'!E108="","",'All Periods'!E108)</f>
        <v/>
      </c>
      <c r="F108" s="96">
        <f>SUMIFS(FlatDataset[Amount (ILS)],FlatDataset[Name],E108,FlatDataset[Date],"&gt;="&amp;C$3,FlatDataset[Date],"&lt;="&amp;C$4)</f>
        <v>0</v>
      </c>
      <c r="G108" s="91">
        <f>'All Periods'!G108</f>
        <v>0</v>
      </c>
    </row>
    <row r="109" spans="2:8">
      <c r="E109" s="82" t="str">
        <f>IF('All Periods'!E109="","",'All Periods'!E109)</f>
        <v/>
      </c>
      <c r="F109" s="96">
        <f>SUMIFS(FlatDataset[Amount (ILS)],FlatDataset[Name],E109,FlatDataset[Date],"&gt;="&amp;C$3,FlatDataset[Date],"&lt;="&amp;C$4)</f>
        <v>0</v>
      </c>
      <c r="G109" s="91">
        <f>'All Periods'!G109</f>
        <v>0</v>
      </c>
    </row>
    <row r="110" spans="2:8">
      <c r="E110" s="82" t="str">
        <f>IF('All Periods'!E110="","",'All Periods'!E110)</f>
        <v/>
      </c>
      <c r="F110" s="96">
        <f>SUMIFS(FlatDataset[Amount (ILS)],FlatDataset[Name],E110,FlatDataset[Date],"&gt;="&amp;C$3,FlatDataset[Date],"&lt;="&amp;C$4)</f>
        <v>0</v>
      </c>
      <c r="G110" s="91">
        <f>'All Periods'!G110</f>
        <v>0</v>
      </c>
    </row>
    <row r="111" spans="2:8">
      <c r="E111" s="82" t="str">
        <f>IF('All Periods'!E111="","",'All Periods'!E111)</f>
        <v/>
      </c>
      <c r="F111" s="96">
        <f>SUMIFS(FlatDataset[Amount (ILS)],FlatDataset[Name],E111,FlatDataset[Date],"&gt;="&amp;C$3,FlatDataset[Date],"&lt;="&amp;C$4)</f>
        <v>0</v>
      </c>
      <c r="G111" s="91">
        <f>'All Periods'!G111</f>
        <v>0</v>
      </c>
    </row>
    <row r="112" spans="2:8">
      <c r="E112" s="82" t="str">
        <f>IF('All Periods'!E112="","",'All Periods'!E112)</f>
        <v/>
      </c>
      <c r="F112" s="96">
        <f>SUMIFS(FlatDataset[Amount (ILS)],FlatDataset[Name],E112,FlatDataset[Date],"&gt;="&amp;C$3,FlatDataset[Date],"&lt;="&amp;C$4)</f>
        <v>0</v>
      </c>
      <c r="G112" s="91">
        <f>'All Periods'!G112</f>
        <v>0</v>
      </c>
    </row>
    <row r="113" spans="5:6">
      <c r="F113" s="96"/>
    </row>
    <row r="115" spans="5:6">
      <c r="E115" s="117" t="s">
        <v>40</v>
      </c>
      <c r="F115" s="96"/>
    </row>
    <row r="116" spans="5:6">
      <c r="F116" s="96"/>
    </row>
    <row r="117" spans="5:6">
      <c r="E117" s="82" t="s">
        <v>55</v>
      </c>
      <c r="F117" s="96">
        <f>SUMIFS(FlatDataset[Amount (ILS)],FlatDataset[Payment method],E117,FlatDataset[Date],"&gt;="&amp;C$3,FlatDataset[Date],"&lt;="&amp;$C$4)</f>
        <v>0</v>
      </c>
    </row>
    <row r="118" spans="5:6">
      <c r="E118" s="82" t="s">
        <v>58</v>
      </c>
      <c r="F118" s="96">
        <f>SUMIFS(FlatDataset[Amount (ILS)],FlatDataset[Payment method],E118,FlatDataset[Date],"&gt;="&amp;C$3,FlatDataset[Date],"&lt;="&amp;$C$4)</f>
        <v>7850</v>
      </c>
    </row>
    <row r="119" spans="5:6">
      <c r="E119" s="82"/>
    </row>
    <row r="121" spans="5:6">
      <c r="E121" s="77" t="s">
        <v>59</v>
      </c>
    </row>
    <row r="122" spans="5:6">
      <c r="E122" s="82" t="str">
        <f>'All Periods'!E126</f>
        <v>מעמ אירופה</v>
      </c>
      <c r="F122" s="96">
        <f>SUMIFS(FlatDataset[Amount (ILS)],FlatDataset[Name],E122,FlatDataset[Date],"&gt;="&amp;C$3,FlatDataset[Date],"&lt;="&amp;C$4)</f>
        <v>4370</v>
      </c>
    </row>
    <row r="123" spans="5:6">
      <c r="E123" s="82">
        <f>'All Periods'!E127</f>
        <v>0</v>
      </c>
      <c r="F123" s="96">
        <f>SUMIFS(FlatDataset[Amount (ILS)],FlatDataset[Name],E123,FlatDataset[Date],"&gt;="&amp;C$3,FlatDataset[Date],"&lt;="&amp;C$4)</f>
        <v>0</v>
      </c>
    </row>
    <row r="124" spans="5:6">
      <c r="E124" s="14">
        <f>'All Periods'!E128</f>
        <v>0</v>
      </c>
      <c r="F124" s="96">
        <f>SUMIFS(FlatDataset[Amount (ILS)],FlatDataset[Name],E124,FlatDataset[Date],"&gt;="&amp;C$3,FlatDataset[Date],"&lt;="&amp;C$4)</f>
        <v>0</v>
      </c>
    </row>
    <row r="125" spans="5:6">
      <c r="E125" s="79">
        <f>'All Periods'!E129</f>
        <v>0</v>
      </c>
      <c r="F125" s="96">
        <f>SUMIFS(FlatDataset[Amount (ILS)],FlatDataset[Name],E125,FlatDataset[Date],"&gt;="&amp;C$3,FlatDataset[Date],"&lt;="&amp;C$4)</f>
        <v>0</v>
      </c>
    </row>
    <row r="126" spans="5:6">
      <c r="E126" s="82">
        <f>'All Periods'!E130</f>
        <v>0</v>
      </c>
      <c r="F126" s="96">
        <f>SUMIFS(FlatDataset[Amount (ILS)],FlatDataset[Name],E126,FlatDataset[Date],"&gt;="&amp;C$3,FlatDataset[Date],"&lt;="&amp;C$4)</f>
        <v>0</v>
      </c>
    </row>
    <row r="127" spans="5:6">
      <c r="E127" s="82">
        <f>'All Periods'!E131</f>
        <v>0</v>
      </c>
      <c r="F127" s="96">
        <f>SUMIFS(FlatDataset[Amount (ILS)],FlatDataset[Name],E127,FlatDataset[Date],"&gt;="&amp;C$3,FlatDataset[Date],"&lt;="&amp;C$4)</f>
        <v>0</v>
      </c>
    </row>
    <row r="128" spans="5:6">
      <c r="E128" s="82">
        <f>'All Periods'!E132</f>
        <v>0</v>
      </c>
      <c r="F128" s="96">
        <f>SUMIFS(FlatDataset[Amount (ILS)],FlatDataset[Name],E128,FlatDataset[Date],"&gt;="&amp;C$3,FlatDataset[Date],"&lt;="&amp;C$4)</f>
        <v>0</v>
      </c>
    </row>
    <row r="129" spans="2:6">
      <c r="E129" s="82">
        <f>'All Periods'!E133</f>
        <v>0</v>
      </c>
      <c r="F129" s="96">
        <f>SUMIFS(FlatDataset[Amount (ILS)],FlatDataset[Name],E129,FlatDataset[Date],"&gt;="&amp;C$3,FlatDataset[Date],"&lt;="&amp;C$4)</f>
        <v>0</v>
      </c>
    </row>
    <row r="130" spans="2:6">
      <c r="E130" s="82">
        <f>'All Periods'!E134</f>
        <v>0</v>
      </c>
      <c r="F130" s="96">
        <f>SUMIFS(FlatDataset[Amount (ILS)],FlatDataset[Name],E130,FlatDataset[Date],"&gt;="&amp;C$3,FlatDataset[Date],"&lt;="&amp;C$4)</f>
        <v>0</v>
      </c>
    </row>
    <row r="133" spans="2:6">
      <c r="F133" s="96"/>
    </row>
    <row r="134" spans="2:6">
      <c r="F134" s="96"/>
    </row>
    <row r="135" spans="2:6" ht="15.75" thickBot="1">
      <c r="B135" s="127" t="s">
        <v>42</v>
      </c>
      <c r="C135" s="121">
        <f>SUM(C42,C45,C46,C51,C53)</f>
        <v>20580</v>
      </c>
      <c r="E135" s="127" t="s">
        <v>30</v>
      </c>
      <c r="F135" s="121">
        <f>SUM(F37:F134)-SUMIF(G37:G134,"x",F37:F134)+F31+F23</f>
        <v>347420</v>
      </c>
    </row>
    <row r="139" spans="2:6" ht="15.75" thickBot="1">
      <c r="B139" s="115" t="s">
        <v>43</v>
      </c>
      <c r="C139" s="116">
        <f>SUM(C135,-F135)</f>
        <v>-326840</v>
      </c>
    </row>
    <row r="140" spans="2:6" ht="15.75" thickTop="1"/>
  </sheetData>
  <conditionalFormatting sqref="C84">
    <cfRule type="cellIs" dxfId="54" priority="29" operator="lessThan">
      <formula>0</formula>
    </cfRule>
    <cfRule type="cellIs" dxfId="53" priority="30" operator="greaterThan">
      <formula>0</formula>
    </cfRule>
  </conditionalFormatting>
  <conditionalFormatting sqref="C139">
    <cfRule type="cellIs" dxfId="52" priority="26" operator="lessThan">
      <formula>0</formula>
    </cfRule>
    <cfRule type="cellIs" dxfId="51" priority="27" operator="greaterThan">
      <formula>0</formula>
    </cfRule>
  </conditionalFormatting>
  <conditionalFormatting sqref="C88">
    <cfRule type="cellIs" dxfId="50" priority="24" operator="lessThan">
      <formula>0</formula>
    </cfRule>
    <cfRule type="cellIs" dxfId="49" priority="25" operator="greaterThan">
      <formula>0</formula>
    </cfRule>
  </conditionalFormatting>
  <conditionalFormatting sqref="C33">
    <cfRule type="cellIs" dxfId="48" priority="22" operator="lessThan">
      <formula>0</formula>
    </cfRule>
    <cfRule type="cellIs" dxfId="47" priority="23" operator="greaterThan">
      <formula>0</formula>
    </cfRule>
  </conditionalFormatting>
  <conditionalFormatting sqref="E46">
    <cfRule type="duplicateValues" dxfId="46" priority="3"/>
  </conditionalFormatting>
  <conditionalFormatting sqref="E61">
    <cfRule type="duplicateValues" dxfId="45" priority="2"/>
  </conditionalFormatting>
  <conditionalFormatting sqref="E125">
    <cfRule type="duplicateValues" dxfId="44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5 d f 0 6 6 1 - 4 c 8 b - 4 5 9 4 - b 3 5 7 - e 4 2 a 2 3 6 c b d 2 6 "   x m l n s = " h t t p : / / s c h e m a s . m i c r o s o f t . c o m / D a t a M a s h u p " > A A A A A L g F A A B Q S w M E F A A C A A g A 5 F V r S K 2 K R J y n A A A A + Q A A A B I A H A B D b 2 5 m a W c v U G F j a 2 F n Z S 5 4 b W w g o h g A K K A U A A A A A A A A A A A A A A A A A A A A A A A A A A A A h Y 9 N D o I w G E S v Q r q n P 4 j G k I + y c C u J C d G 4 b U q F R i i G F s v d X H g k r y C J Y t i 5 n M m b 5 M 3 r 8 Y R s b J v g r n q r O 5 M i h i k K l J F d q U 2 V o s F d w i 3 K O B y E v I p K B R N s b D J a n a L a u V t C i P c e + x X u + o p E l D J y z v e F r F U r Q m 2 s E 0 Y q 9 F u V / 1 e I w + k j w y M c x T i m m z V m M W V A 5 h 5 y b R b M p I w p k E U J u 6 F x Q 6 + 4 M u G x A D J H I N 8 b / A 1 Q S w M E F A A C A A g A 5 F V r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V a 0 j G V L A q r w I A A F Q I A A A T A B w A R m 9 y b X V s Y X M v U 2 V j d G l v b j E u b S C i G A A o o B Q A A A A A A A A A A A A A A A A A A A A A A A A A A A C t V D 1 v 2 z A Q 3 Q 3 4 P x D M I r d C b D n d g g y B k w A F 0 g / Y S Y t C E A r a P t d G J D K g q C C G o R / R r V O H T O 0 v 8 t / p k b I k U p a T D P V i i X e 8 9 + 7 d O 6 U w U y v B y a T 4 D 0 6 7 n W 4 n X T I J c 3 I V M 3 X B F E t B k T M S g + o Q / P X 7 5 H r F I S U L K R K i l k D u m W Q J K J D k h k 1 j M F k T k c n Z 9 1 E m J V 4 1 x 8 c 3 k v F 0 I W Q y E n G W 8 J v 1 P a T e 5 e M M 4 m O d B 1 x 9 F f J u K s S d 1 9 u E H 7 H k G R 0 z B S m N 8 n A k u M K M y N 9 s 6 P b 3 9 t f 2 5 / a J + k R h E a L g U e U + w c D f 7 d P 2 T 3 n M s 2 Q K M s 9 7 v m H 0 / n q C V G p e m 0 E e F h e i I u F 2 c u E m B I 2 E y 9 u x m z B s J P T 7 n b p 5 w N w X u j O 6 B E 5 7 5 v 4 R v e X 3 q w e h c A i F W C m t Z N y F P q H y c h f 0 C k A t g S 6 M A l C t L h l W T 4 F + u m B r I h b k A 2 I t 9 f t n t k 4 Q l O D s l m K u T w q m s z V F O e m 5 U n I 1 z Z S p 9 4 X F G d B e y W 8 M H I F a 2 B W B k l d b I 3 q C T u k r F q d Q k D J T L K A 0 g U R k X F E 9 w e 4 O d 7 R k / A c W 0 0 0 F 9 H l r 7 b P U 0 B b a z i d z 9 J i N c T 6 f 6 z t Z q k Q y r D H w u K j j N W k g 1 b I g s N m S H O m K H m 4 O H K P k X l h D R j 3 f H J u X R i D o 1 R T G k I i H m v j Q 1 l d H a n 1 d s r 7 T X 1 6 N y 8 4 K 2 l v a g 6 w G Q D x c n V 7 Z 3 G p B w t I m 0 R n F E N U f A U 7 C I j s i g A Q 6 j T T c r U b a G 7 1 u J r U 6 w f 2 q G N s K n 7 w 4 a L c / 4 z C X e t s H Q f c s 5 B x k u 4 9 N q B b a J e T / t 0 2 z z F M a v q m 8 T d g Z 0 m F b 7 H e G j G 3 M c r d a L f I q h x R 9 m h W 2 X D 8 c D A Z v j c e / A Z N e 2 G b 7 8 i y 0 Z Y o O 2 z 9 4 n f 1 1 i 5 W U z g R y u 3 R D m O C Z m e / x Q I R d y 8 + O v z H u A 9 + W k 0 M y 7 z G 0 D I F b U 6 1 i e O T 6 J O r r a C v W u 3 Y s l 4 4 F o 1 f x M I y O d j s r 3 o 5 0 + g 9 Q S w E C L Q A U A A I A C A D k V W t I r Y p E n K c A A A D 5 A A A A E g A A A A A A A A A A A A A A A A A A A A A A Q 2 9 u Z m l n L 1 B h Y 2 t h Z 2 U u e G 1 s U E s B A i 0 A F A A C A A g A 5 F V r S A / K 6 a u k A A A A 6 Q A A A B M A A A A A A A A A A A A A A A A A 8 w A A A F t D b 2 5 0 Z W 5 0 X 1 R 5 c G V z X S 5 4 b W x Q S w E C L Q A U A A I A C A D k V W t I x l S w K q 8 C A A B U C A A A E w A A A A A A A A A A A A A A A A D k A Q A A R m 9 y b X V s Y X M v U 2 V j d G l v b j E u b V B L B Q Y A A A A A A w A D A M I A A A D g B A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4 z F g A A A A A A A B E W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Q 2 9 1 b n Q i I F Z h b H V l P S J s M z k 2 I i A v P j x F b n R y e S B U e X B l P S J G a W x s R X J y b 3 J D b 3 V u d C I g V m F s d W U 9 I m w w I i A v P j x F b n R y e S B U e X B l P S J G a W x s Q 2 9 s d W 1 u V H l w Z X M i I F Z h b H V l P S J z Q U F B Q U F B V U F B Q U E 9 I i A v P j x F b n R y e S B U e X B l P S J G a W x s Q 2 9 s d W 1 u T m F t Z X M i I F Z h b H V l P S J z W y Z x d W 9 0 O 0 R h d G U m c X V v d D s s J n F 1 b 3 Q 7 T m F t Z S Z x d W 9 0 O y w m c X V v d D t U e X B l I D I m c X V v d D s s J n F 1 b 3 Q 7 V H l w Z S A x J n F 1 b 3 Q 7 L C Z x d W 9 0 O 0 F t b 3 V u d C A o S U x T K S Z x d W 9 0 O y w m c X V v d D t Q Y X l t Z W 5 0 I G 1 l d G h v Z C Z x d W 9 0 O y w m c X V v d D t B b W 9 1 b n Q g K F V T R C k m c X V v d D s s J n F 1 b 3 Q 7 Q W 1 v d W 5 0 I C h F V V I p J n F 1 b 3 Q 7 X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Z p b G x T d G F 0 d X M i I F Z h b H V l P S J z Q 2 9 t c G x l d G U i I C 8 + P E V u d H J 5 I F R 5 c G U 9 I l F 1 Z X J 5 S U Q i I F Z h b H V l P S J z Z T E 3 M 2 Y 5 O T U t N 2 Y w N S 0 0 M T Q 2 L T g y Y m E t M m E 0 O D k 2 O T l l M m E 5 I i A v P j x F b n R y e S B U e X B l P S J G a W x s T G F z d F V w Z G F 0 Z W Q i I F Z h b H V l P S J k M j A x N i 0 w M y 0 x M V Q w O D o 0 N z o w N S 4 z N D M y M T A 0 W i I g L z 4 8 R W 5 0 c n k g V H l w Z T 0 i R m l s b F R h c m d l d C I g V m F s d W U 9 I n N G b G F 0 R G F 0 Y X N l d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x h d E R h d G F z Z X Q v Q W R k Z W Q g Q 3 V z d G 9 t L n t E Y X R l L D d 9 J n F 1 b 3 Q 7 L C Z x d W 9 0 O 1 N l Y 3 R p b 2 4 x L 0 Z s Y X R E Y X R h c 2 V 0 L 1 V u c G l 2 b 3 R l Z C B D b 2 x 1 b W 5 z L n t O Y W 1 l L D B 9 J n F 1 b 3 Q 7 L C Z x d W 9 0 O 1 N l Y 3 R p b 2 4 x L 0 Z s Y X R E Y X R h c 2 V 0 L 1 V u c G l 2 b 3 R l Z C B D b 2 x 1 b W 5 z L n t U e X B l I D I s M X 0 m c X V v d D s s J n F 1 b 3 Q 7 U 2 V j d G l v b j E v R m x h d E R h d G F z Z X Q v V W 5 w a X Z v d G V k I E N v b H V t b n M u e 1 R 5 c G U g M S w y f S Z x d W 9 0 O y w m c X V v d D t T Z W N 0 a W 9 u M S 9 G b G F 0 R G F 0 Y X N l d C 9 D a G F u Z 2 V k I F R 5 c G U z L n t B b W 9 1 b n Q g K E l M U y k s O H 0 m c X V v d D s s J n F 1 b 3 Q 7 U 2 V j d G l v b j E v R m x h d E R h d G F z Z X Q v V W 5 w a X Z v d G V k I E N v b H V t b n M u e 1 B h e W 1 l b n Q g b W V 0 a G 9 k L D R 9 J n F 1 b 3 Q 7 L C Z x d W 9 0 O 1 N l Y 3 R p b 2 4 x L 0 Z s Y X R E Y X R h c 2 V 0 L 0 F k Z G V k I E N 1 c 3 R v b T M u e 0 F t b 3 V u d C A o V V N E K S w 2 f S Z x d W 9 0 O y w m c X V v d D t T Z W N 0 a W 9 u M S 9 G b G F 0 R G F 0 Y X N l d C 9 B Z G R l Z C B D d X N 0 b 2 0 0 L n t B b W 9 1 b n Q g K E V V U i k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m x h d E R h d G F z Z X Q v Q W R k Z W Q g Q 3 V z d G 9 t L n t E Y X R l L D d 9 J n F 1 b 3 Q 7 L C Z x d W 9 0 O 1 N l Y 3 R p b 2 4 x L 0 Z s Y X R E Y X R h c 2 V 0 L 1 V u c G l 2 b 3 R l Z C B D b 2 x 1 b W 5 z L n t O Y W 1 l L D B 9 J n F 1 b 3 Q 7 L C Z x d W 9 0 O 1 N l Y 3 R p b 2 4 x L 0 Z s Y X R E Y X R h c 2 V 0 L 1 V u c G l 2 b 3 R l Z C B D b 2 x 1 b W 5 z L n t U e X B l I D I s M X 0 m c X V v d D s s J n F 1 b 3 Q 7 U 2 V j d G l v b j E v R m x h d E R h d G F z Z X Q v V W 5 w a X Z v d G V k I E N v b H V t b n M u e 1 R 5 c G U g M S w y f S Z x d W 9 0 O y w m c X V v d D t T Z W N 0 a W 9 u M S 9 G b G F 0 R G F 0 Y X N l d C 9 D a G F u Z 2 V k I F R 5 c G U z L n t B b W 9 1 b n Q g K E l M U y k s O H 0 m c X V v d D s s J n F 1 b 3 Q 7 U 2 V j d G l v b j E v R m x h d E R h d G F z Z X Q v V W 5 w a X Z v d G V k I E N v b H V t b n M u e 1 B h e W 1 l b n Q g b W V 0 a G 9 k L D R 9 J n F 1 b 3 Q 7 L C Z x d W 9 0 O 1 N l Y 3 R p b 2 4 x L 0 Z s Y X R E Y X R h c 2 V 0 L 0 F k Z G V k I E N 1 c 3 R v b T M u e 0 F t b 3 V u d C A o V V N E K S w 2 f S Z x d W 9 0 O y w m c X V v d D t T Z W N 0 a W 9 u M S 9 G b G F 0 R G F 0 Y X N l d C 9 B Z G R l Z C B D d X N 0 b 2 0 0 L n t B b W 9 1 b n Q g K E V V U i k s N 3 0 m c X V v d D t d L C Z x d W 9 0 O 1 J l b G F 0 a W 9 u c 2 h p c E l u Z m 8 m c X V v d D s 6 W 1 1 9 I i A v P j x F b n R y e S B U e X B l P S J G a W x s V G F y Z 2 V 0 T m F t Z U N 1 c 3 R v b W l 6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b G F 0 R G F 0 Y X N l d C 9 T b 3 V y Y 1 9 D d X J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S U x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V V N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R V V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s Y X R E Y X R h c 2 V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s Y X R E Y X R h c 2 V 0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h d E R h d G F z Z X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G F 0 R G F 0 Y X N l d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G F 0 R G F 0 Y X N l d C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s Y X R E Y X R h c 2 V 0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s Y X R E Y X R h c 2 V 0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s Y X R E Y X R h c 2 V 0 L 0 F k Z G V k J T I w Q 3 V z d G 9 t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s Y X R E Y X R h c 2 V 0 L 0 F k Z G V k J T I w Q 3 V z d G 9 t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j B W E P Z t s 0 T L T N E N A W o 7 Z 1 A A A A A A I A A A A A A A N m A A D A A A A A E A A A A M l F 1 i A H q j r R n Q b V 9 K v / / K 0 A A A A A B I A A A K A A A A A Q A A A A b C + 7 + Y 3 b w v t D h V D W / b C V l F A A A A A M n 1 s y 0 3 t n 4 m z 6 5 W 7 d r w I N S 1 P 5 s y R b / q V U b U v Y 4 P 9 t V w k L D x I 9 Z N V c D t k r 2 B 3 P u 2 J k + d B h R + O f f r o l 2 o 1 1 A P A J 5 7 z + j Q 3 A a k j k R L h B n N O G b h Q A A A A 4 i 3 y 5 w H D / J O a t X Z o x 6 r V 5 b A Y i g g = = < / D a t a M a s h u p > 
</file>

<file path=customXml/itemProps1.xml><?xml version="1.0" encoding="utf-8"?>
<ds:datastoreItem xmlns:ds="http://schemas.openxmlformats.org/officeDocument/2006/customXml" ds:itemID="{4278F7A7-F414-4E55-BC83-F82025F1F5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Input</vt:lpstr>
      <vt:lpstr>צ'קים בקופה</vt:lpstr>
      <vt:lpstr>Uses</vt:lpstr>
      <vt:lpstr>Check sheet</vt:lpstr>
      <vt:lpstr>Flat Dataset</vt:lpstr>
      <vt:lpstr>Summary</vt:lpstr>
      <vt:lpstr>All Periods</vt:lpstr>
      <vt:lpstr>Forecast2</vt:lpstr>
      <vt:lpstr>Forecast3</vt:lpstr>
      <vt:lpstr>Forecast4</vt:lpstr>
      <vt:lpstr>Forecast5</vt:lpstr>
      <vt:lpstr>Forecast6</vt:lpstr>
      <vt:lpstr>Forecast7</vt:lpstr>
      <vt:lpstr>EUR</vt:lpstr>
      <vt:lpstr>EURUSD</vt:lpstr>
      <vt:lpstr>ILS</vt:lpstr>
      <vt:lpstr>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merav</dc:creator>
  <cp:lastModifiedBy>Eran</cp:lastModifiedBy>
  <cp:lastPrinted>2015-01-06T13:08:13Z</cp:lastPrinted>
  <dcterms:created xsi:type="dcterms:W3CDTF">2013-10-06T07:03:18Z</dcterms:created>
  <dcterms:modified xsi:type="dcterms:W3CDTF">2016-03-26T12:20:56Z</dcterms:modified>
</cp:coreProperties>
</file>